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7.11.2025 № 19-103\"/>
    </mc:Choice>
  </mc:AlternateContent>
  <xr:revisionPtr revIDLastSave="0" documentId="13_ncr:1_{6660D699-E932-4AA4-B4BE-8CFEA25120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рпр!$A$7:$G$1004</definedName>
    <definedName name="Z_0D09C470_2E87_4C0F_8678_A948774FDA23_.wvu.FilterData" localSheetId="0" hidden="1">рпр!$D$1:$D$16</definedName>
    <definedName name="Z_199C747B_6047_4DBE_B7AF_0B4ED9AF8062_.wvu.FilterData" localSheetId="0" hidden="1">рпр!$C$1:$C$1009</definedName>
    <definedName name="Z_1CA6CCC9_64EF_4CA9_9C9C_1E572976D134_.wvu.FilterData" localSheetId="0" hidden="1">рпр!$B$1:$B$1022</definedName>
    <definedName name="Z_1CA6CCC9_64EF_4CA9_9C9C_1E572976D134_.wvu.PrintTitles" localSheetId="0" hidden="1">рпр!$8:$9</definedName>
    <definedName name="Z_218F18D1_2914_4F27_ABAE_261F981F1A55_.wvu.FilterData" localSheetId="0" hidden="1">рпр!$B$1:$B$1022</definedName>
    <definedName name="Z_23A5EAB7_7745_45A3_8BB4_D6186958C7BF_.wvu.FilterData" localSheetId="0" hidden="1">рпр!$D$1:$D$16</definedName>
    <definedName name="Z_23A5EAB7_7745_45A3_8BB4_D6186958C7BF_.wvu.PrintTitles" localSheetId="0" hidden="1">рпр!$8:$9</definedName>
    <definedName name="Z_23F7C319_D9D7_459A_B8F5_A3581D3A5B81_.wvu.FilterData" localSheetId="0" hidden="1">рпр!$D$1:$D$16</definedName>
    <definedName name="Z_2A135292_D5EB_4A8D_A93E_D0B24F2543E0_.wvu.FilterData" localSheetId="0" hidden="1">рпр!$B$1:$B$1022</definedName>
    <definedName name="Z_2A135292_D5EB_4A8D_A93E_D0B24F2543E0_.wvu.PrintTitles" localSheetId="0" hidden="1">рпр!$8:$9</definedName>
    <definedName name="Z_3197038B_7AE0_453D_B16F_842F91D12370_.wvu.FilterData" localSheetId="0" hidden="1">рпр!$D$1:$D$16</definedName>
    <definedName name="Z_32FC6AA7_97FD_40A3_9558_62D49F19A162_.wvu.FilterData" localSheetId="0" hidden="1">рпр!$D$1:$D$16</definedName>
    <definedName name="Z_3A362C31_BF4D_437C_A969_71166BA966C9_.wvu.FilterData" localSheetId="0" hidden="1">рпр!$B$1:$B$1022</definedName>
    <definedName name="Z_3D5FA0F4_920E_4BDD_8237_DA71285E552D_.wvu.FilterData" localSheetId="0" hidden="1">рпр!$D$1:$D$16</definedName>
    <definedName name="Z_3E648FDD_E1B7_4790_827B_0B5F0EAD6452_.wvu.FilterData" localSheetId="0" hidden="1">рпр!$D$1:$D$16</definedName>
    <definedName name="Z_428587CB_7522_43D8_8240_C5319A22CD32_.wvu.FilterData" localSheetId="0" hidden="1">рпр!$B$1:$B$1022</definedName>
    <definedName name="Z_54504407_114B_4720_ACF1_5A91BF8E7DFC_.wvu.FilterData" localSheetId="0" hidden="1">рпр!$B$1:$B$1022</definedName>
    <definedName name="Z_5489E52F_3E4E_4A5D_9CAF_34B64A29D785_.wvu.FilterData" localSheetId="0" hidden="1">рпр!$D$1:$D$16</definedName>
    <definedName name="Z_61C84D61_2D1A_4C38_8F3E_B87673D547A5_.wvu.FilterData" localSheetId="0" hidden="1">рпр!$B$1:$B$1022</definedName>
    <definedName name="Z_61C84D61_2D1A_4C38_8F3E_B87673D547A5_.wvu.PrintTitles" localSheetId="0" hidden="1">рпр!$8:$9</definedName>
    <definedName name="Z_6C9A7D5C_610A_4B66_A332_0B1E5ACC7CDC_.wvu.FilterData" localSheetId="0" hidden="1">рпр!$C$1:$C$1009</definedName>
    <definedName name="Z_6D8949E9_8F67_452F_8026_18F60ECD626A_.wvu.FilterData" localSheetId="0" hidden="1">рпр!$C$1:$C$1009</definedName>
    <definedName name="Z_7106963E_70F3_48C5_B362_9B000C363242_.wvu.FilterData" localSheetId="0" hidden="1">рпр!$A$7:$G$1004</definedName>
    <definedName name="Z_86573376_21A2_4F16_923F_50DD0987E4D8_.wvu.FilterData" localSheetId="0" hidden="1">рпр!$B$1:$B$1022</definedName>
    <definedName name="Z_8A1344EA_3656_4A1E_A147_BEBA6E534C02_.wvu.FilterData" localSheetId="0" hidden="1">рпр!$B$1:$B$1022</definedName>
    <definedName name="Z_926F2036_6CA2_4D9D_9A3F_FBB9B9A9CDEA_.wvu.FilterData" localSheetId="0" hidden="1">рпр!$D$1:$D$16</definedName>
    <definedName name="Z_9392CBD6_F4B0_493F_995C_C6327321BD49_.wvu.FilterData" localSheetId="0" hidden="1">рпр!$A$7:$G$1004</definedName>
    <definedName name="Z_93B03682_4FA6_4195_9F3E_A40BC2C05B11_.wvu.FilterData" localSheetId="0" hidden="1">рпр!$D$1:$D$16</definedName>
    <definedName name="Z_98E64474_CDF2_4660_977D_8A2058B27A2F_.wvu.FilterData" localSheetId="0" hidden="1">рпр!$A$7:$G$1004</definedName>
    <definedName name="Z_98E64474_CDF2_4660_977D_8A2058B27A2F_.wvu.PrintTitles" localSheetId="0" hidden="1">рпр!$8:$9</definedName>
    <definedName name="Z_9FDAC6D4_D6DE_4524_BE34_3372FE2E9C61_.wvu.FilterData" localSheetId="0" hidden="1">рпр!$D$1:$D$16</definedName>
    <definedName name="Z_AA62EF5A_85DE_4BC8_95D5_4F54CE8CF3D6_.wvu.FilterData" localSheetId="0" hidden="1">рпр!$B$1:$B$1022</definedName>
    <definedName name="Z_AA62EF5A_85DE_4BC8_95D5_4F54CE8CF3D6_.wvu.PrintTitles" localSheetId="0" hidden="1">рпр!$8:$9</definedName>
    <definedName name="Z_BB350AFD_3C59_406F_B078_BA01ED584583_.wvu.FilterData" localSheetId="0" hidden="1">рпр!$C$1:$C$1009</definedName>
    <definedName name="Z_BBC98704_382B_4A77_8B65_8E0E10583F10_.wvu.FilterData" localSheetId="0" hidden="1">рпр!$C$1:$C$1009</definedName>
    <definedName name="Z_C1741D45_C46A_4DC7_AC19_5A71334CAEEE_.wvu.FilterData" localSheetId="0" hidden="1">рпр!$A$7:$G$1004</definedName>
    <definedName name="Z_D2822DC7_D4ED_4DDD_BAA7_FCD29EB01634_.wvu.FilterData" localSheetId="0" hidden="1">рпр!$C$1:$C$1009</definedName>
    <definedName name="Z_DE4C4DED_3532_45E6_82B9_84CB49AD099F_.wvu.FilterData" localSheetId="0" hidden="1">рпр!$C$1:$C$1009</definedName>
    <definedName name="Z_E586D359_DE3D_4D6F_A86E_5D6A822FA4CF_.wvu.FilterData" localSheetId="0" hidden="1">рпр!$B$1:$B$1022</definedName>
    <definedName name="Z_EBD9B7AB_7702_45BD_91FB_72E8ED80273F_.wvu.FilterData" localSheetId="0" hidden="1">рпр!$A$7:$G$1004</definedName>
    <definedName name="Z_F90D38A5_C457_4FC4_B8B4_5D36CD74970E_.wvu.FilterData" localSheetId="0" hidden="1">рпр!$D$1:$D$16</definedName>
    <definedName name="Z_FD876D40_493A_470C_A137_1F7C6C6DA01D_.wvu.FilterData" localSheetId="0" hidden="1">рпр!$D$1:$D$16</definedName>
    <definedName name="Z_FD876D40_493A_470C_A137_1F7C6C6DA01D_.wvu.PrintTitles" localSheetId="0" hidden="1">рпр!$8:$9</definedName>
    <definedName name="Z_FE4AF045_F399_4B92_A013_5E38744055F8_.wvu.FilterData" localSheetId="0" hidden="1">рпр!$B$1:$B$1022</definedName>
    <definedName name="_xlnm.Print_Titles" localSheetId="0">рпр!$8:$9</definedName>
  </definedNames>
  <calcPr calcId="191029"/>
  <customWorkbookViews>
    <customWorkbookView name="Ярина Анна - Личное представление" guid="{AA62EF5A-85DE-4BC8-95D5-4F54CE8CF3D6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Власова Татьяна - Личное представление" guid="{98E64474-CDF2-4660-977D-8A2058B27A2F}" mergeInterval="0" personalView="1" maximized="1" xWindow="-8" yWindow="-8" windowWidth="1936" windowHeight="1056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Хода Светлана Ивановна - Личное представление" guid="{61C84D61-2D1A-4C38-8F3E-B87673D547A5}" mergeInterval="0" personalView="1" xWindow="107" yWindow="8" windowWidth="836" windowHeight="845" activeSheetId="1"/>
    <customWorkbookView name="Захаревич Елена - Личное представление" guid="{1CA6CCC9-64EF-4CA9-9C9C-1E572976D134}" mergeInterval="0" personalView="1" xWindow="550" yWindow="1" windowWidth="1358" windowHeight="101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1" i="1" l="1"/>
  <c r="G861" i="1"/>
  <c r="E543" i="1"/>
  <c r="E188" i="1"/>
  <c r="G535" i="1" l="1"/>
  <c r="F426" i="1"/>
  <c r="G426" i="1"/>
  <c r="G40" i="1"/>
  <c r="G38" i="1" s="1"/>
  <c r="F38" i="1"/>
  <c r="E38" i="1"/>
  <c r="F298" i="1"/>
  <c r="G298" i="1"/>
  <c r="G294" i="1"/>
  <c r="F294" i="1"/>
  <c r="G292" i="1"/>
  <c r="F292" i="1"/>
  <c r="G290" i="1"/>
  <c r="F290" i="1"/>
  <c r="G287" i="1"/>
  <c r="F287" i="1"/>
  <c r="G284" i="1"/>
  <c r="F284" i="1"/>
  <c r="G281" i="1"/>
  <c r="F281" i="1"/>
  <c r="G278" i="1"/>
  <c r="F278" i="1"/>
  <c r="G275" i="1"/>
  <c r="F275" i="1"/>
  <c r="G272" i="1"/>
  <c r="F272" i="1"/>
  <c r="G270" i="1"/>
  <c r="F270" i="1"/>
  <c r="G268" i="1"/>
  <c r="F268" i="1"/>
  <c r="G266" i="1"/>
  <c r="F266" i="1"/>
  <c r="G264" i="1"/>
  <c r="F264" i="1"/>
  <c r="G262" i="1"/>
  <c r="F262" i="1"/>
  <c r="G260" i="1"/>
  <c r="F260" i="1"/>
  <c r="G258" i="1"/>
  <c r="F258" i="1"/>
  <c r="G256" i="1"/>
  <c r="F256" i="1"/>
  <c r="E181" i="1"/>
  <c r="G252" i="1"/>
  <c r="F252" i="1"/>
  <c r="E252" i="1"/>
  <c r="G250" i="1"/>
  <c r="F250" i="1"/>
  <c r="E250" i="1"/>
  <c r="E647" i="1"/>
  <c r="E645" i="1"/>
  <c r="E653" i="1"/>
  <c r="G157" i="1"/>
  <c r="G156" i="1" s="1"/>
  <c r="G155" i="1" s="1"/>
  <c r="G154" i="1" s="1"/>
  <c r="F157" i="1"/>
  <c r="F156" i="1" s="1"/>
  <c r="F155" i="1" s="1"/>
  <c r="F154" i="1" s="1"/>
  <c r="E157" i="1"/>
  <c r="E156" i="1" s="1"/>
  <c r="E155" i="1" s="1"/>
  <c r="E154" i="1" s="1"/>
  <c r="G152" i="1"/>
  <c r="G151" i="1" s="1"/>
  <c r="F152" i="1"/>
  <c r="F151" i="1" s="1"/>
  <c r="E152" i="1"/>
  <c r="E151" i="1" s="1"/>
  <c r="E336" i="1"/>
  <c r="E329" i="1"/>
  <c r="E327" i="1"/>
  <c r="E322" i="1"/>
  <c r="E321" i="1" s="1"/>
  <c r="G321" i="1"/>
  <c r="F321" i="1"/>
  <c r="E320" i="1"/>
  <c r="G317" i="1"/>
  <c r="F317" i="1"/>
  <c r="E317" i="1"/>
  <c r="E316" i="1"/>
  <c r="E314" i="1"/>
  <c r="E312" i="1"/>
  <c r="E61" i="1"/>
  <c r="E291" i="1"/>
  <c r="E285" i="1"/>
  <c r="E282" i="1"/>
  <c r="E283" i="1"/>
  <c r="E280" i="1"/>
  <c r="E278" i="1" s="1"/>
  <c r="E286" i="1"/>
  <c r="E187" i="1"/>
  <c r="F194" i="1"/>
  <c r="G194" i="1"/>
  <c r="E194" i="1"/>
  <c r="E289" i="1"/>
  <c r="E301" i="1"/>
  <c r="E299" i="1"/>
  <c r="E298" i="1" s="1"/>
  <c r="E293" i="1"/>
  <c r="E292" i="1" s="1"/>
  <c r="E277" i="1"/>
  <c r="E271" i="1"/>
  <c r="F188" i="1"/>
  <c r="F187" i="1" s="1"/>
  <c r="G188" i="1"/>
  <c r="G187" i="1" s="1"/>
  <c r="E268" i="1"/>
  <c r="E267" i="1"/>
  <c r="E263" i="1"/>
  <c r="E261" i="1"/>
  <c r="E259" i="1"/>
  <c r="E655" i="1"/>
  <c r="F578" i="1"/>
  <c r="F592" i="1"/>
  <c r="E145" i="1"/>
  <c r="E607" i="1"/>
  <c r="E603" i="1"/>
  <c r="E609" i="1"/>
  <c r="E590" i="1"/>
  <c r="E554" i="1"/>
  <c r="E620" i="1"/>
  <c r="E634" i="1"/>
  <c r="E626" i="1"/>
  <c r="E624" i="1"/>
  <c r="E601" i="1"/>
  <c r="E600" i="1"/>
  <c r="F581" i="1"/>
  <c r="G581" i="1"/>
  <c r="F579" i="1"/>
  <c r="G579" i="1"/>
  <c r="E581" i="1"/>
  <c r="E579" i="1"/>
  <c r="E556" i="1"/>
  <c r="E546" i="1"/>
  <c r="E574" i="1"/>
  <c r="E572" i="1"/>
  <c r="F557" i="1"/>
  <c r="G557" i="1"/>
  <c r="E557" i="1"/>
  <c r="E630" i="1"/>
  <c r="G130" i="1"/>
  <c r="F130" i="1"/>
  <c r="E130" i="1"/>
  <c r="E90" i="1"/>
  <c r="E87" i="1"/>
  <c r="E121" i="1"/>
  <c r="E120" i="1"/>
  <c r="F407" i="1"/>
  <c r="F481" i="1"/>
  <c r="F439" i="1"/>
  <c r="F437" i="1"/>
  <c r="F435" i="1"/>
  <c r="F433" i="1"/>
  <c r="E379" i="1"/>
  <c r="E427" i="1"/>
  <c r="E426" i="1" s="1"/>
  <c r="E431" i="1"/>
  <c r="E437" i="1"/>
  <c r="E439" i="1"/>
  <c r="E443" i="1"/>
  <c r="E453" i="1"/>
  <c r="E455" i="1"/>
  <c r="E535" i="1"/>
  <c r="E528" i="1"/>
  <c r="E524" i="1"/>
  <c r="F520" i="1"/>
  <c r="G520" i="1"/>
  <c r="F518" i="1"/>
  <c r="G518" i="1"/>
  <c r="F516" i="1"/>
  <c r="G516" i="1"/>
  <c r="E521" i="1"/>
  <c r="E520" i="1" s="1"/>
  <c r="E519" i="1"/>
  <c r="E518" i="1" s="1"/>
  <c r="E517" i="1"/>
  <c r="E516" i="1" s="1"/>
  <c r="E493" i="1"/>
  <c r="E489" i="1"/>
  <c r="E485" i="1"/>
  <c r="E415" i="1"/>
  <c r="E513" i="1"/>
  <c r="E491" i="1"/>
  <c r="E483" i="1"/>
  <c r="E475" i="1"/>
  <c r="E473" i="1"/>
  <c r="E467" i="1"/>
  <c r="E463" i="1"/>
  <c r="E461" i="1"/>
  <c r="E451" i="1"/>
  <c r="E449" i="1"/>
  <c r="E447" i="1"/>
  <c r="E445" i="1"/>
  <c r="F440" i="1"/>
  <c r="G440" i="1"/>
  <c r="E440" i="1"/>
  <c r="E435" i="1"/>
  <c r="F428" i="1"/>
  <c r="G428" i="1"/>
  <c r="E428" i="1"/>
  <c r="E118" i="1"/>
  <c r="E116" i="1"/>
  <c r="E115" i="1"/>
  <c r="E106" i="1"/>
  <c r="E102" i="1"/>
  <c r="E98" i="1"/>
  <c r="E96" i="1"/>
  <c r="G83" i="1"/>
  <c r="F83" i="1"/>
  <c r="E85" i="1"/>
  <c r="E86" i="1"/>
  <c r="E84" i="1"/>
  <c r="E92" i="1"/>
  <c r="E82" i="1"/>
  <c r="F412" i="1"/>
  <c r="G412" i="1"/>
  <c r="E412" i="1"/>
  <c r="E406" i="1"/>
  <c r="E402" i="1"/>
  <c r="E398" i="1"/>
  <c r="E391" i="1"/>
  <c r="F387" i="1"/>
  <c r="G387" i="1"/>
  <c r="E387" i="1"/>
  <c r="E362" i="1"/>
  <c r="E346" i="1"/>
  <c r="F345" i="1"/>
  <c r="G345" i="1"/>
  <c r="E375" i="1"/>
  <c r="E353" i="1"/>
  <c r="E347" i="1"/>
  <c r="E344" i="1"/>
  <c r="E343" i="1"/>
  <c r="E372" i="1"/>
  <c r="E358" i="1"/>
  <c r="E662" i="1"/>
  <c r="F827" i="1"/>
  <c r="G827" i="1"/>
  <c r="E827" i="1"/>
  <c r="E830" i="1"/>
  <c r="E826" i="1"/>
  <c r="E823" i="1"/>
  <c r="E822" i="1"/>
  <c r="E818" i="1"/>
  <c r="E817" i="1"/>
  <c r="E811" i="1"/>
  <c r="E793" i="1"/>
  <c r="E791" i="1"/>
  <c r="E789" i="1"/>
  <c r="E785" i="1"/>
  <c r="E80" i="1"/>
  <c r="E76" i="1"/>
  <c r="E75" i="1"/>
  <c r="G72" i="1"/>
  <c r="F72" i="1"/>
  <c r="E72" i="1"/>
  <c r="E56" i="1"/>
  <c r="E55" i="1"/>
  <c r="E50" i="1"/>
  <c r="E51" i="1"/>
  <c r="E775" i="1"/>
  <c r="E765" i="1"/>
  <c r="E764" i="1"/>
  <c r="E762" i="1"/>
  <c r="E739" i="1"/>
  <c r="E737" i="1"/>
  <c r="E733" i="1"/>
  <c r="E715" i="1"/>
  <c r="E705" i="1"/>
  <c r="E701" i="1"/>
  <c r="E700" i="1" s="1"/>
  <c r="E750" i="1"/>
  <c r="E744" i="1"/>
  <c r="E725" i="1"/>
  <c r="E723" i="1"/>
  <c r="E719" i="1"/>
  <c r="F700" i="1"/>
  <c r="G700" i="1"/>
  <c r="E683" i="1"/>
  <c r="E675" i="1"/>
  <c r="E34" i="1"/>
  <c r="E33" i="1"/>
  <c r="E32" i="1"/>
  <c r="E31" i="1"/>
  <c r="E27" i="1"/>
  <c r="E24" i="1"/>
  <c r="G885" i="1"/>
  <c r="G883" i="1"/>
  <c r="F885" i="1"/>
  <c r="F883" i="1"/>
  <c r="E885" i="1"/>
  <c r="E877" i="1"/>
  <c r="E867" i="1"/>
  <c r="E863" i="1"/>
  <c r="E862" i="1" s="1"/>
  <c r="E861" i="1" s="1"/>
  <c r="E925" i="1"/>
  <c r="E919" i="1"/>
  <c r="E917" i="1"/>
  <c r="E942" i="1"/>
  <c r="E941" i="1"/>
  <c r="E936" i="1"/>
  <c r="E923" i="1"/>
  <c r="E911" i="1"/>
  <c r="E909" i="1"/>
  <c r="E902" i="1"/>
  <c r="E900" i="1"/>
  <c r="E907" i="1"/>
  <c r="E896" i="1"/>
  <c r="E994" i="1"/>
  <c r="E978" i="1"/>
  <c r="E949" i="1"/>
  <c r="F255" i="1" l="1"/>
  <c r="G255" i="1"/>
  <c r="E644" i="1"/>
  <c r="G150" i="1"/>
  <c r="F150" i="1"/>
  <c r="E150" i="1"/>
  <c r="E284" i="1"/>
  <c r="E83" i="1"/>
  <c r="E345" i="1"/>
  <c r="G141" i="1" l="1"/>
  <c r="G424" i="1"/>
  <c r="E424" i="1"/>
  <c r="F424" i="1"/>
  <c r="G420" i="1"/>
  <c r="E420" i="1"/>
  <c r="G418" i="1"/>
  <c r="E418" i="1"/>
  <c r="F420" i="1"/>
  <c r="F418" i="1"/>
  <c r="G248" i="1"/>
  <c r="E248" i="1"/>
  <c r="G246" i="1"/>
  <c r="E246" i="1"/>
  <c r="G244" i="1"/>
  <c r="E244" i="1"/>
  <c r="G242" i="1"/>
  <c r="E242" i="1"/>
  <c r="F248" i="1"/>
  <c r="F246" i="1"/>
  <c r="F244" i="1"/>
  <c r="F242" i="1"/>
  <c r="G238" i="1"/>
  <c r="E238" i="1"/>
  <c r="G236" i="1"/>
  <c r="E236" i="1"/>
  <c r="F238" i="1"/>
  <c r="F236" i="1"/>
  <c r="F174" i="1"/>
  <c r="F173" i="1" s="1"/>
  <c r="F172" i="1" s="1"/>
  <c r="G174" i="1"/>
  <c r="G173" i="1" s="1"/>
  <c r="G172" i="1" s="1"/>
  <c r="E174" i="1"/>
  <c r="E173" i="1" s="1"/>
  <c r="E172" i="1" s="1"/>
  <c r="F141" i="1"/>
  <c r="E89" i="1"/>
  <c r="F543" i="1"/>
  <c r="F542" i="1" s="1"/>
  <c r="G543" i="1"/>
  <c r="G542" i="1" s="1"/>
  <c r="E542" i="1"/>
  <c r="F378" i="1"/>
  <c r="F377" i="1" s="1"/>
  <c r="G378" i="1"/>
  <c r="G377" i="1" s="1"/>
  <c r="E378" i="1"/>
  <c r="E377" i="1" s="1"/>
  <c r="F97" i="1" l="1"/>
  <c r="G97" i="1"/>
  <c r="F81" i="1"/>
  <c r="G81" i="1"/>
  <c r="E81" i="1"/>
  <c r="F409" i="1" l="1"/>
  <c r="G409" i="1"/>
  <c r="E409" i="1"/>
  <c r="E889" i="1"/>
  <c r="F889" i="1"/>
  <c r="G889" i="1"/>
  <c r="F629" i="1"/>
  <c r="G629" i="1"/>
  <c r="E629" i="1"/>
  <c r="F585" i="1"/>
  <c r="G585" i="1"/>
  <c r="E585" i="1"/>
  <c r="F399" i="1"/>
  <c r="G399" i="1"/>
  <c r="E399" i="1"/>
  <c r="F962" i="1"/>
  <c r="G962" i="1"/>
  <c r="E962" i="1"/>
  <c r="F392" i="1"/>
  <c r="G392" i="1"/>
  <c r="E392" i="1"/>
  <c r="E438" i="1"/>
  <c r="E436" i="1"/>
  <c r="E434" i="1"/>
  <c r="F506" i="1"/>
  <c r="G506" i="1"/>
  <c r="E506" i="1"/>
  <c r="F492" i="1"/>
  <c r="G492" i="1"/>
  <c r="E492" i="1"/>
  <c r="E290" i="1"/>
  <c r="F514" i="1"/>
  <c r="G514" i="1"/>
  <c r="F512" i="1"/>
  <c r="G512" i="1"/>
  <c r="F510" i="1"/>
  <c r="G510" i="1"/>
  <c r="F508" i="1"/>
  <c r="G508" i="1"/>
  <c r="F504" i="1"/>
  <c r="G504" i="1"/>
  <c r="F502" i="1"/>
  <c r="G502" i="1"/>
  <c r="F500" i="1"/>
  <c r="G500" i="1"/>
  <c r="F498" i="1"/>
  <c r="G498" i="1"/>
  <c r="F496" i="1"/>
  <c r="G496" i="1"/>
  <c r="F494" i="1"/>
  <c r="G494" i="1"/>
  <c r="E514" i="1"/>
  <c r="E512" i="1"/>
  <c r="E510" i="1"/>
  <c r="E508" i="1"/>
  <c r="E504" i="1"/>
  <c r="E502" i="1"/>
  <c r="E500" i="1"/>
  <c r="E498" i="1"/>
  <c r="E496" i="1"/>
  <c r="E494" i="1"/>
  <c r="F438" i="1"/>
  <c r="G438" i="1"/>
  <c r="F436" i="1"/>
  <c r="G436" i="1"/>
  <c r="F434" i="1"/>
  <c r="G434" i="1"/>
  <c r="F422" i="1"/>
  <c r="G422" i="1"/>
  <c r="F416" i="1"/>
  <c r="G416" i="1"/>
  <c r="E422" i="1"/>
  <c r="E416" i="1"/>
  <c r="G577" i="1"/>
  <c r="F577" i="1"/>
  <c r="E577" i="1"/>
  <c r="F365" i="1" l="1"/>
  <c r="G365" i="1"/>
  <c r="E365" i="1"/>
  <c r="F810" i="1"/>
  <c r="G810" i="1"/>
  <c r="F807" i="1"/>
  <c r="G807" i="1"/>
  <c r="E807" i="1"/>
  <c r="E810" i="1"/>
  <c r="F342" i="1"/>
  <c r="G342" i="1"/>
  <c r="E342" i="1"/>
  <c r="F575" i="1"/>
  <c r="G575" i="1"/>
  <c r="E575" i="1"/>
  <c r="F405" i="1"/>
  <c r="G405" i="1"/>
  <c r="F401" i="1"/>
  <c r="G401" i="1"/>
  <c r="F403" i="1"/>
  <c r="G403" i="1"/>
  <c r="F390" i="1"/>
  <c r="G390" i="1"/>
  <c r="E405" i="1"/>
  <c r="E403" i="1"/>
  <c r="E401" i="1"/>
  <c r="E266" i="1"/>
  <c r="F326" i="1" l="1"/>
  <c r="G326" i="1"/>
  <c r="E326" i="1"/>
  <c r="E49" i="1"/>
  <c r="E88" i="1"/>
  <c r="F88" i="1"/>
  <c r="G88" i="1"/>
  <c r="F305" i="1"/>
  <c r="F304" i="1" s="1"/>
  <c r="F303" i="1" s="1"/>
  <c r="F302" i="1" s="1"/>
  <c r="G305" i="1"/>
  <c r="G304" i="1" s="1"/>
  <c r="G303" i="1" s="1"/>
  <c r="G302" i="1" s="1"/>
  <c r="E264" i="1"/>
  <c r="E330" i="1" l="1"/>
  <c r="F330" i="1"/>
  <c r="G330" i="1"/>
  <c r="F328" i="1"/>
  <c r="G328" i="1"/>
  <c r="E328" i="1"/>
  <c r="F631" i="1"/>
  <c r="G631" i="1"/>
  <c r="E631" i="1"/>
  <c r="E488" i="1"/>
  <c r="G488" i="1"/>
  <c r="F488" i="1"/>
  <c r="E486" i="1"/>
  <c r="E484" i="1"/>
  <c r="F486" i="1"/>
  <c r="G486" i="1"/>
  <c r="F484" i="1"/>
  <c r="G484" i="1"/>
  <c r="F363" i="1"/>
  <c r="G363" i="1"/>
  <c r="E363" i="1"/>
  <c r="F583" i="1"/>
  <c r="G583" i="1"/>
  <c r="E583" i="1"/>
  <c r="E490" i="1"/>
  <c r="F490" i="1"/>
  <c r="G490" i="1"/>
  <c r="F620" i="1"/>
  <c r="G620" i="1"/>
  <c r="F573" i="1"/>
  <c r="G573" i="1"/>
  <c r="E573" i="1"/>
  <c r="G234" i="1"/>
  <c r="F234" i="1"/>
  <c r="E234" i="1"/>
  <c r="E305" i="1"/>
  <c r="F691" i="1"/>
  <c r="F757" i="1"/>
  <c r="F756" i="1" s="1"/>
  <c r="F755" i="1" s="1"/>
  <c r="G757" i="1"/>
  <c r="G756" i="1" s="1"/>
  <c r="G755" i="1" s="1"/>
  <c r="E757" i="1"/>
  <c r="E756" i="1" s="1"/>
  <c r="E755" i="1" s="1"/>
  <c r="E816" i="1"/>
  <c r="F816" i="1"/>
  <c r="G816" i="1"/>
  <c r="E325" i="1" l="1"/>
  <c r="E287" i="1"/>
  <c r="G325" i="1"/>
  <c r="F325" i="1"/>
  <c r="E304" i="1"/>
  <c r="E303" i="1" s="1"/>
  <c r="E302" i="1" s="1"/>
  <c r="F569" i="1"/>
  <c r="F980" i="1"/>
  <c r="G980" i="1"/>
  <c r="F769" i="1"/>
  <c r="F768" i="1" s="1"/>
  <c r="G769" i="1"/>
  <c r="G768" i="1" s="1"/>
  <c r="F724" i="1"/>
  <c r="G724" i="1"/>
  <c r="E691" i="1"/>
  <c r="F682" i="1"/>
  <c r="G682" i="1"/>
  <c r="G618" i="1"/>
  <c r="F618" i="1"/>
  <c r="G587" i="1"/>
  <c r="F587" i="1"/>
  <c r="G571" i="1"/>
  <c r="F571" i="1"/>
  <c r="F563" i="1"/>
  <c r="G563" i="1"/>
  <c r="F555" i="1"/>
  <c r="G555" i="1"/>
  <c r="F482" i="1"/>
  <c r="G482" i="1"/>
  <c r="G480" i="1"/>
  <c r="G478" i="1"/>
  <c r="F476" i="1"/>
  <c r="G476" i="1"/>
  <c r="F367" i="1"/>
  <c r="G367" i="1"/>
  <c r="F359" i="1"/>
  <c r="G359" i="1"/>
  <c r="G348" i="1"/>
  <c r="G341" i="1" l="1"/>
  <c r="G340" i="1" s="1"/>
  <c r="F341" i="1"/>
  <c r="F340" i="1" s="1"/>
  <c r="F232" i="1"/>
  <c r="G232" i="1"/>
  <c r="E232" i="1"/>
  <c r="F240" i="1"/>
  <c r="E240" i="1"/>
  <c r="G240" i="1"/>
  <c r="E230" i="1"/>
  <c r="G230" i="1"/>
  <c r="E228" i="1"/>
  <c r="F228" i="1"/>
  <c r="G228" i="1"/>
  <c r="E226" i="1"/>
  <c r="G226" i="1"/>
  <c r="G224" i="1"/>
  <c r="E224" i="1"/>
  <c r="E222" i="1"/>
  <c r="G222" i="1"/>
  <c r="G220" i="1"/>
  <c r="G218" i="1"/>
  <c r="F216" i="1"/>
  <c r="G216" i="1"/>
  <c r="F214" i="1"/>
  <c r="G214" i="1"/>
  <c r="F212" i="1"/>
  <c r="G212" i="1"/>
  <c r="F210" i="1"/>
  <c r="G210" i="1"/>
  <c r="F208" i="1"/>
  <c r="G208" i="1"/>
  <c r="F206" i="1"/>
  <c r="G206" i="1"/>
  <c r="F204" i="1"/>
  <c r="G204" i="1"/>
  <c r="F202" i="1"/>
  <c r="G202" i="1"/>
  <c r="F200" i="1"/>
  <c r="G200" i="1"/>
  <c r="F198" i="1"/>
  <c r="G198" i="1"/>
  <c r="E980" i="1" l="1"/>
  <c r="G965" i="1"/>
  <c r="E965" i="1"/>
  <c r="F965" i="1"/>
  <c r="F960" i="1"/>
  <c r="G960" i="1"/>
  <c r="E960" i="1"/>
  <c r="E959" i="1" l="1"/>
  <c r="G959" i="1"/>
  <c r="F959" i="1"/>
  <c r="E769" i="1"/>
  <c r="E768" i="1" s="1"/>
  <c r="E724" i="1"/>
  <c r="E682" i="1"/>
  <c r="E587" i="1"/>
  <c r="E555" i="1"/>
  <c r="F627" i="1"/>
  <c r="G627" i="1"/>
  <c r="E627" i="1"/>
  <c r="E563" i="1"/>
  <c r="E618" i="1"/>
  <c r="E571" i="1"/>
  <c r="F480" i="1"/>
  <c r="F478" i="1"/>
  <c r="E482" i="1"/>
  <c r="E476" i="1"/>
  <c r="E480" i="1"/>
  <c r="E478" i="1"/>
  <c r="E474" i="1"/>
  <c r="E472" i="1"/>
  <c r="F474" i="1"/>
  <c r="G474" i="1"/>
  <c r="F472" i="1"/>
  <c r="G472" i="1"/>
  <c r="E348" i="1"/>
  <c r="E341" i="1" s="1"/>
  <c r="E367" i="1"/>
  <c r="E340" i="1" l="1"/>
  <c r="E834" i="1"/>
  <c r="E359" i="1"/>
  <c r="F315" i="1"/>
  <c r="G315" i="1"/>
  <c r="E315" i="1"/>
  <c r="F230" i="1"/>
  <c r="F226" i="1"/>
  <c r="F224" i="1"/>
  <c r="F222" i="1"/>
  <c r="F220" i="1"/>
  <c r="F218" i="1"/>
  <c r="E220" i="1"/>
  <c r="E218" i="1"/>
  <c r="E216" i="1"/>
  <c r="E214" i="1"/>
  <c r="E212" i="1"/>
  <c r="E210" i="1"/>
  <c r="E208" i="1"/>
  <c r="E206" i="1"/>
  <c r="E204" i="1"/>
  <c r="E202" i="1"/>
  <c r="E200" i="1"/>
  <c r="E198" i="1"/>
  <c r="F196" i="1"/>
  <c r="G196" i="1"/>
  <c r="G193" i="1" s="1"/>
  <c r="E196" i="1"/>
  <c r="E262" i="1"/>
  <c r="F193" i="1" l="1"/>
  <c r="E193" i="1"/>
  <c r="F168" i="1"/>
  <c r="F167" i="1" s="1"/>
  <c r="F166" i="1" s="1"/>
  <c r="G168" i="1"/>
  <c r="G167" i="1" s="1"/>
  <c r="G166" i="1" s="1"/>
  <c r="E168" i="1"/>
  <c r="E167" i="1" s="1"/>
  <c r="E166" i="1" s="1"/>
  <c r="F148" i="1"/>
  <c r="G148" i="1"/>
  <c r="E148" i="1"/>
  <c r="E97" i="1"/>
  <c r="F101" i="1"/>
  <c r="G101" i="1"/>
  <c r="F105" i="1"/>
  <c r="G105" i="1"/>
  <c r="F103" i="1"/>
  <c r="G103" i="1"/>
  <c r="G99" i="1"/>
  <c r="F99" i="1"/>
  <c r="E101" i="1"/>
  <c r="E99" i="1"/>
  <c r="E105" i="1"/>
  <c r="E109" i="1"/>
  <c r="E103" i="1"/>
  <c r="E107" i="1"/>
  <c r="E838" i="1" l="1"/>
  <c r="E840" i="1" l="1"/>
  <c r="F470" i="1" l="1"/>
  <c r="G470" i="1"/>
  <c r="F468" i="1"/>
  <c r="G468" i="1"/>
  <c r="F466" i="1"/>
  <c r="G466" i="1"/>
  <c r="F464" i="1"/>
  <c r="G464" i="1"/>
  <c r="G708" i="1"/>
  <c r="F708" i="1"/>
  <c r="E708" i="1"/>
  <c r="G706" i="1"/>
  <c r="F706" i="1"/>
  <c r="E706" i="1"/>
  <c r="G690" i="1"/>
  <c r="G689" i="1" s="1"/>
  <c r="F690" i="1"/>
  <c r="F689" i="1" s="1"/>
  <c r="E690" i="1"/>
  <c r="E689" i="1" s="1"/>
  <c r="G51" i="1" l="1"/>
  <c r="G49" i="1" s="1"/>
  <c r="F51" i="1"/>
  <c r="F49" i="1" s="1"/>
  <c r="G45" i="1"/>
  <c r="G44" i="1"/>
  <c r="F45" i="1"/>
  <c r="F44" i="1"/>
  <c r="G42" i="1"/>
  <c r="F42" i="1"/>
  <c r="G43" i="1" l="1"/>
  <c r="F599" i="1" l="1"/>
  <c r="G599" i="1"/>
  <c r="E599" i="1"/>
  <c r="F79" i="1" l="1"/>
  <c r="G79" i="1"/>
  <c r="F916" i="1"/>
  <c r="G916" i="1"/>
  <c r="E916" i="1"/>
  <c r="F831" i="1"/>
  <c r="G831" i="1"/>
  <c r="E831" i="1"/>
  <c r="F740" i="1"/>
  <c r="G740" i="1"/>
  <c r="E740" i="1"/>
  <c r="F738" i="1"/>
  <c r="G738" i="1"/>
  <c r="E738" i="1"/>
  <c r="E734" i="1" l="1"/>
  <c r="F728" i="1" l="1"/>
  <c r="G728" i="1"/>
  <c r="E728" i="1"/>
  <c r="F714" i="1"/>
  <c r="G714" i="1"/>
  <c r="E714" i="1"/>
  <c r="F704" i="1"/>
  <c r="F703" i="1" s="1"/>
  <c r="F702" i="1" s="1"/>
  <c r="G704" i="1"/>
  <c r="G703" i="1" s="1"/>
  <c r="G702" i="1" s="1"/>
  <c r="E704" i="1"/>
  <c r="F698" i="1"/>
  <c r="G698" i="1"/>
  <c r="F696" i="1"/>
  <c r="G696" i="1"/>
  <c r="E698" i="1"/>
  <c r="E696" i="1"/>
  <c r="F694" i="1"/>
  <c r="G694" i="1"/>
  <c r="E694" i="1"/>
  <c r="F529" i="1"/>
  <c r="G529" i="1"/>
  <c r="E529" i="1"/>
  <c r="E275" i="1"/>
  <c r="G569" i="1"/>
  <c r="F567" i="1"/>
  <c r="G567" i="1"/>
  <c r="E569" i="1"/>
  <c r="E567" i="1"/>
  <c r="F383" i="1"/>
  <c r="F382" i="1" s="1"/>
  <c r="F381" i="1" s="1"/>
  <c r="G383" i="1"/>
  <c r="G382" i="1" s="1"/>
  <c r="G381" i="1" s="1"/>
  <c r="E383" i="1"/>
  <c r="E382" i="1" s="1"/>
  <c r="E381" i="1" s="1"/>
  <c r="F693" i="1" l="1"/>
  <c r="F688" i="1" s="1"/>
  <c r="E693" i="1"/>
  <c r="E688" i="1" s="1"/>
  <c r="G693" i="1"/>
  <c r="G688" i="1" s="1"/>
  <c r="F184" i="1"/>
  <c r="G184" i="1"/>
  <c r="E184" i="1"/>
  <c r="F745" i="1" l="1"/>
  <c r="G745" i="1"/>
  <c r="E745" i="1"/>
  <c r="F710" i="1"/>
  <c r="G710" i="1"/>
  <c r="E710" i="1"/>
  <c r="E703" i="1" s="1"/>
  <c r="E702" i="1" s="1"/>
  <c r="F954" i="1"/>
  <c r="F953" i="1" s="1"/>
  <c r="G954" i="1"/>
  <c r="G953" i="1" s="1"/>
  <c r="E954" i="1"/>
  <c r="E953" i="1" s="1"/>
  <c r="E470" i="1"/>
  <c r="E468" i="1"/>
  <c r="E466" i="1"/>
  <c r="E464" i="1"/>
  <c r="F460" i="1"/>
  <c r="G460" i="1"/>
  <c r="F462" i="1"/>
  <c r="G462" i="1"/>
  <c r="E462" i="1"/>
  <c r="E460" i="1"/>
  <c r="F454" i="1" l="1"/>
  <c r="G454" i="1"/>
  <c r="F456" i="1"/>
  <c r="G456" i="1"/>
  <c r="F458" i="1"/>
  <c r="G458" i="1"/>
  <c r="E458" i="1"/>
  <c r="E456" i="1"/>
  <c r="E454" i="1"/>
  <c r="F450" i="1"/>
  <c r="G450" i="1"/>
  <c r="F452" i="1"/>
  <c r="G452" i="1"/>
  <c r="E452" i="1"/>
  <c r="E450" i="1"/>
  <c r="F91" i="1"/>
  <c r="G91" i="1"/>
  <c r="E91" i="1"/>
  <c r="G192" i="1" l="1"/>
  <c r="F192" i="1"/>
  <c r="E192" i="1"/>
  <c r="F74" i="1" l="1"/>
  <c r="G74" i="1"/>
  <c r="E74" i="1"/>
  <c r="F857" i="1"/>
  <c r="G857" i="1"/>
  <c r="F859" i="1"/>
  <c r="G859" i="1"/>
  <c r="E859" i="1"/>
  <c r="E857" i="1"/>
  <c r="E79" i="1"/>
  <c r="F534" i="1"/>
  <c r="G534" i="1"/>
  <c r="E534" i="1"/>
  <c r="F532" i="1"/>
  <c r="G532" i="1"/>
  <c r="E532" i="1"/>
  <c r="F523" i="1"/>
  <c r="F522" i="1" s="1"/>
  <c r="G523" i="1"/>
  <c r="G522" i="1" s="1"/>
  <c r="E523" i="1"/>
  <c r="E522" i="1" s="1"/>
  <c r="F780" i="1"/>
  <c r="F779" i="1" s="1"/>
  <c r="F778" i="1" s="1"/>
  <c r="G780" i="1"/>
  <c r="G779" i="1" s="1"/>
  <c r="G778" i="1" s="1"/>
  <c r="E780" i="1"/>
  <c r="E779" i="1" s="1"/>
  <c r="E778" i="1" s="1"/>
  <c r="E281" i="1"/>
  <c r="F852" i="1"/>
  <c r="F851" i="1" s="1"/>
  <c r="F850" i="1" s="1"/>
  <c r="G852" i="1"/>
  <c r="G851" i="1" s="1"/>
  <c r="G850" i="1" s="1"/>
  <c r="E852" i="1"/>
  <c r="E851" i="1" s="1"/>
  <c r="E850" i="1" s="1"/>
  <c r="F987" i="1"/>
  <c r="F986" i="1" s="1"/>
  <c r="F985" i="1" s="1"/>
  <c r="G987" i="1"/>
  <c r="G986" i="1" s="1"/>
  <c r="G985" i="1" s="1"/>
  <c r="E987" i="1"/>
  <c r="E986" i="1" s="1"/>
  <c r="E985" i="1" s="1"/>
  <c r="F589" i="1"/>
  <c r="G589" i="1"/>
  <c r="F591" i="1"/>
  <c r="G591" i="1"/>
  <c r="E591" i="1"/>
  <c r="E589" i="1"/>
  <c r="F551" i="1"/>
  <c r="G551" i="1"/>
  <c r="E551" i="1"/>
  <c r="F553" i="1"/>
  <c r="G553" i="1"/>
  <c r="E553" i="1"/>
  <c r="E114" i="1"/>
  <c r="E272" i="1"/>
  <c r="E270" i="1"/>
  <c r="F66" i="1"/>
  <c r="F65" i="1" s="1"/>
  <c r="F64" i="1" s="1"/>
  <c r="F63" i="1" s="1"/>
  <c r="F62" i="1" s="1"/>
  <c r="G66" i="1"/>
  <c r="G65" i="1" s="1"/>
  <c r="G64" i="1" s="1"/>
  <c r="G63" i="1" s="1"/>
  <c r="G62" i="1" s="1"/>
  <c r="E66" i="1"/>
  <c r="E65" i="1" s="1"/>
  <c r="E64" i="1" s="1"/>
  <c r="E63" i="1" s="1"/>
  <c r="E62" i="1" s="1"/>
  <c r="F430" i="1"/>
  <c r="G430" i="1"/>
  <c r="E430" i="1"/>
  <c r="F361" i="1"/>
  <c r="G361" i="1"/>
  <c r="E361" i="1"/>
  <c r="E260" i="1"/>
  <c r="E550" i="1" l="1"/>
  <c r="E549" i="1" s="1"/>
  <c r="E856" i="1"/>
  <c r="E855" i="1" s="1"/>
  <c r="E854" i="1" s="1"/>
  <c r="G856" i="1"/>
  <c r="G855" i="1" s="1"/>
  <c r="G854" i="1" s="1"/>
  <c r="F856" i="1"/>
  <c r="F855" i="1" s="1"/>
  <c r="F854" i="1" s="1"/>
  <c r="F550" i="1"/>
  <c r="F549" i="1" s="1"/>
  <c r="G550" i="1"/>
  <c r="G549" i="1" s="1"/>
  <c r="E60" i="1"/>
  <c r="E59" i="1" s="1"/>
  <c r="E58" i="1" s="1"/>
  <c r="F60" i="1"/>
  <c r="F59" i="1" s="1"/>
  <c r="F58" i="1" s="1"/>
  <c r="G60" i="1"/>
  <c r="G59" i="1" s="1"/>
  <c r="G58" i="1" s="1"/>
  <c r="E661" i="1"/>
  <c r="E660" i="1" s="1"/>
  <c r="E659" i="1" s="1"/>
  <c r="E658" i="1" s="1"/>
  <c r="E657" i="1" s="1"/>
  <c r="E656" i="1" s="1"/>
  <c r="F661" i="1"/>
  <c r="F660" i="1" s="1"/>
  <c r="F659" i="1" s="1"/>
  <c r="F658" i="1" s="1"/>
  <c r="F657" i="1" s="1"/>
  <c r="F656" i="1" s="1"/>
  <c r="G661" i="1"/>
  <c r="G660" i="1" s="1"/>
  <c r="G659" i="1" s="1"/>
  <c r="G658" i="1" s="1"/>
  <c r="G657" i="1" s="1"/>
  <c r="G656" i="1" s="1"/>
  <c r="G114" i="1" l="1"/>
  <c r="F114" i="1"/>
  <c r="G125" i="1"/>
  <c r="G124" i="1" s="1"/>
  <c r="G123" i="1" s="1"/>
  <c r="G122" i="1" s="1"/>
  <c r="F125" i="1"/>
  <c r="F124" i="1" s="1"/>
  <c r="F123" i="1" s="1"/>
  <c r="F122" i="1" s="1"/>
  <c r="E125" i="1"/>
  <c r="E124" i="1" s="1"/>
  <c r="E123" i="1" s="1"/>
  <c r="E122" i="1" s="1"/>
  <c r="G119" i="1"/>
  <c r="F119" i="1"/>
  <c r="E119" i="1"/>
  <c r="E113" i="1" s="1"/>
  <c r="E112" i="1" l="1"/>
  <c r="E111" i="1" s="1"/>
  <c r="F113" i="1"/>
  <c r="F112" i="1" s="1"/>
  <c r="F111" i="1" s="1"/>
  <c r="G113" i="1"/>
  <c r="G112" i="1" s="1"/>
  <c r="G111" i="1" s="1"/>
  <c r="G300" i="1"/>
  <c r="F300" i="1"/>
  <c r="E300" i="1"/>
  <c r="E297" i="1" s="1"/>
  <c r="G998" i="1"/>
  <c r="G997" i="1" s="1"/>
  <c r="G996" i="1" s="1"/>
  <c r="G995" i="1" s="1"/>
  <c r="F998" i="1"/>
  <c r="F997" i="1" s="1"/>
  <c r="F996" i="1" s="1"/>
  <c r="F995" i="1" s="1"/>
  <c r="E998" i="1"/>
  <c r="E997" i="1" s="1"/>
  <c r="E996" i="1" s="1"/>
  <c r="E995" i="1" s="1"/>
  <c r="G924" i="1"/>
  <c r="F924" i="1"/>
  <c r="E924" i="1"/>
  <c r="G918" i="1"/>
  <c r="F918" i="1"/>
  <c r="E918" i="1"/>
  <c r="G922" i="1"/>
  <c r="F922" i="1"/>
  <c r="E922" i="1"/>
  <c r="G910" i="1"/>
  <c r="F910" i="1"/>
  <c r="E910" i="1"/>
  <c r="G908" i="1"/>
  <c r="F908" i="1"/>
  <c r="E908" i="1"/>
  <c r="G906" i="1"/>
  <c r="F906" i="1"/>
  <c r="E906" i="1"/>
  <c r="G652" i="1"/>
  <c r="G651" i="1" s="1"/>
  <c r="G650" i="1" s="1"/>
  <c r="G649" i="1" s="1"/>
  <c r="F652" i="1"/>
  <c r="F651" i="1" s="1"/>
  <c r="F650" i="1" s="1"/>
  <c r="F649" i="1" s="1"/>
  <c r="E652" i="1"/>
  <c r="E651" i="1" s="1"/>
  <c r="E650" i="1" s="1"/>
  <c r="E649" i="1" s="1"/>
  <c r="G644" i="1"/>
  <c r="G643" i="1" s="1"/>
  <c r="G642" i="1" s="1"/>
  <c r="G641" i="1" s="1"/>
  <c r="F644" i="1"/>
  <c r="F643" i="1" s="1"/>
  <c r="F642" i="1" s="1"/>
  <c r="F641" i="1" s="1"/>
  <c r="E643" i="1"/>
  <c r="E642" i="1" s="1"/>
  <c r="E641" i="1" s="1"/>
  <c r="G639" i="1"/>
  <c r="G638" i="1" s="1"/>
  <c r="G637" i="1" s="1"/>
  <c r="G636" i="1" s="1"/>
  <c r="F639" i="1"/>
  <c r="F638" i="1" s="1"/>
  <c r="F637" i="1" s="1"/>
  <c r="F636" i="1" s="1"/>
  <c r="E639" i="1"/>
  <c r="E638" i="1" s="1"/>
  <c r="E637" i="1" s="1"/>
  <c r="E636" i="1" s="1"/>
  <c r="G633" i="1"/>
  <c r="F633" i="1"/>
  <c r="E633" i="1"/>
  <c r="G625" i="1"/>
  <c r="F625" i="1"/>
  <c r="E625" i="1"/>
  <c r="G623" i="1"/>
  <c r="F623" i="1"/>
  <c r="E623" i="1"/>
  <c r="G616" i="1"/>
  <c r="F616" i="1"/>
  <c r="E616" i="1"/>
  <c r="G614" i="1"/>
  <c r="F614" i="1"/>
  <c r="E614" i="1"/>
  <c r="G612" i="1"/>
  <c r="F612" i="1"/>
  <c r="E612" i="1"/>
  <c r="G610" i="1"/>
  <c r="F610" i="1"/>
  <c r="E610" i="1"/>
  <c r="G608" i="1"/>
  <c r="F608" i="1"/>
  <c r="E608" i="1"/>
  <c r="G606" i="1"/>
  <c r="F606" i="1"/>
  <c r="E606" i="1"/>
  <c r="G604" i="1"/>
  <c r="F604" i="1"/>
  <c r="E604" i="1"/>
  <c r="G602" i="1"/>
  <c r="F602" i="1"/>
  <c r="E602" i="1"/>
  <c r="G597" i="1"/>
  <c r="F597" i="1"/>
  <c r="E597" i="1"/>
  <c r="G595" i="1"/>
  <c r="F595" i="1"/>
  <c r="E595" i="1"/>
  <c r="G561" i="1"/>
  <c r="F561" i="1"/>
  <c r="E561" i="1"/>
  <c r="G374" i="1"/>
  <c r="G373" i="1" s="1"/>
  <c r="F374" i="1"/>
  <c r="F373" i="1" s="1"/>
  <c r="E374" i="1"/>
  <c r="E373" i="1" s="1"/>
  <c r="G352" i="1"/>
  <c r="G351" i="1" s="1"/>
  <c r="G350" i="1" s="1"/>
  <c r="G339" i="1" s="1"/>
  <c r="F352" i="1"/>
  <c r="F351" i="1" s="1"/>
  <c r="F350" i="1" s="1"/>
  <c r="F339" i="1" s="1"/>
  <c r="E352" i="1"/>
  <c r="E351" i="1" s="1"/>
  <c r="E350" i="1" s="1"/>
  <c r="E339" i="1" s="1"/>
  <c r="E594" i="1" l="1"/>
  <c r="E593" i="1" s="1"/>
  <c r="F297" i="1"/>
  <c r="F296" i="1" s="1"/>
  <c r="G297" i="1"/>
  <c r="G296" i="1" s="1"/>
  <c r="F594" i="1"/>
  <c r="F593" i="1" s="1"/>
  <c r="G594" i="1"/>
  <c r="G593" i="1" s="1"/>
  <c r="F915" i="1"/>
  <c r="F914" i="1" s="1"/>
  <c r="G915" i="1"/>
  <c r="G914" i="1" s="1"/>
  <c r="E915" i="1"/>
  <c r="E914" i="1" s="1"/>
  <c r="E296" i="1"/>
  <c r="F921" i="1"/>
  <c r="F920" i="1" s="1"/>
  <c r="E921" i="1"/>
  <c r="E920" i="1" s="1"/>
  <c r="G921" i="1"/>
  <c r="G920" i="1" s="1"/>
  <c r="E905" i="1"/>
  <c r="E904" i="1" s="1"/>
  <c r="E903" i="1" s="1"/>
  <c r="F905" i="1"/>
  <c r="F904" i="1" s="1"/>
  <c r="F903" i="1" s="1"/>
  <c r="G905" i="1"/>
  <c r="G904" i="1" s="1"/>
  <c r="G903" i="1" s="1"/>
  <c r="F635" i="1"/>
  <c r="E635" i="1"/>
  <c r="G635" i="1"/>
  <c r="G539" i="1"/>
  <c r="F539" i="1"/>
  <c r="E539" i="1"/>
  <c r="G537" i="1"/>
  <c r="F537" i="1"/>
  <c r="E537" i="1"/>
  <c r="G527" i="1"/>
  <c r="G526" i="1" s="1"/>
  <c r="F527" i="1"/>
  <c r="F526" i="1" s="1"/>
  <c r="E527" i="1"/>
  <c r="E526" i="1" s="1"/>
  <c r="G414" i="1"/>
  <c r="F414" i="1"/>
  <c r="E414" i="1"/>
  <c r="G371" i="1"/>
  <c r="G370" i="1" s="1"/>
  <c r="G369" i="1" s="1"/>
  <c r="F371" i="1"/>
  <c r="F370" i="1" s="1"/>
  <c r="F369" i="1" s="1"/>
  <c r="E371" i="1"/>
  <c r="E370" i="1" s="1"/>
  <c r="E369" i="1" s="1"/>
  <c r="G164" i="1"/>
  <c r="G163" i="1" s="1"/>
  <c r="G162" i="1" s="1"/>
  <c r="G161" i="1" s="1"/>
  <c r="G160" i="1" s="1"/>
  <c r="F164" i="1"/>
  <c r="F163" i="1" s="1"/>
  <c r="F162" i="1" s="1"/>
  <c r="F161" i="1" s="1"/>
  <c r="F160" i="1" s="1"/>
  <c r="E164" i="1"/>
  <c r="E163" i="1" s="1"/>
  <c r="E162" i="1" s="1"/>
  <c r="E161" i="1" s="1"/>
  <c r="E160" i="1" s="1"/>
  <c r="E536" i="1" l="1"/>
  <c r="G536" i="1"/>
  <c r="F536" i="1"/>
  <c r="G913" i="1"/>
  <c r="F913" i="1"/>
  <c r="E913" i="1"/>
  <c r="E525" i="1" l="1"/>
  <c r="F525" i="1"/>
  <c r="G525" i="1"/>
  <c r="G565" i="1" l="1"/>
  <c r="G560" i="1" s="1"/>
  <c r="F565" i="1"/>
  <c r="F560" i="1" s="1"/>
  <c r="E565" i="1"/>
  <c r="E560" i="1" s="1"/>
  <c r="G448" i="1"/>
  <c r="F448" i="1"/>
  <c r="E448" i="1"/>
  <c r="G446" i="1"/>
  <c r="F446" i="1"/>
  <c r="E446" i="1"/>
  <c r="G444" i="1"/>
  <c r="F444" i="1"/>
  <c r="E444" i="1"/>
  <c r="G442" i="1"/>
  <c r="F442" i="1"/>
  <c r="E442" i="1"/>
  <c r="G432" i="1"/>
  <c r="F432" i="1"/>
  <c r="E432" i="1"/>
  <c r="G397" i="1"/>
  <c r="F397" i="1"/>
  <c r="E397" i="1"/>
  <c r="G395" i="1"/>
  <c r="F395" i="1"/>
  <c r="E395" i="1"/>
  <c r="E390" i="1"/>
  <c r="G357" i="1"/>
  <c r="G356" i="1" s="1"/>
  <c r="F357" i="1"/>
  <c r="F356" i="1" s="1"/>
  <c r="E357" i="1"/>
  <c r="E356" i="1" s="1"/>
  <c r="G335" i="1"/>
  <c r="F335" i="1"/>
  <c r="E335" i="1"/>
  <c r="G333" i="1"/>
  <c r="F333" i="1"/>
  <c r="E333" i="1"/>
  <c r="G319" i="1"/>
  <c r="F319" i="1"/>
  <c r="E319" i="1"/>
  <c r="G313" i="1"/>
  <c r="F313" i="1"/>
  <c r="E313" i="1"/>
  <c r="G311" i="1"/>
  <c r="F311" i="1"/>
  <c r="E311" i="1"/>
  <c r="E294" i="1"/>
  <c r="E258" i="1"/>
  <c r="E256" i="1"/>
  <c r="G182" i="1"/>
  <c r="F182" i="1"/>
  <c r="E182" i="1"/>
  <c r="G180" i="1"/>
  <c r="F180" i="1"/>
  <c r="E180" i="1"/>
  <c r="G178" i="1"/>
  <c r="F178" i="1"/>
  <c r="E178" i="1"/>
  <c r="F386" i="1" l="1"/>
  <c r="E255" i="1"/>
  <c r="E254" i="1" s="1"/>
  <c r="G386" i="1"/>
  <c r="E386" i="1"/>
  <c r="E385" i="1" s="1"/>
  <c r="E380" i="1" s="1"/>
  <c r="E376" i="1" s="1"/>
  <c r="G310" i="1"/>
  <c r="G309" i="1" s="1"/>
  <c r="G308" i="1" s="1"/>
  <c r="E310" i="1"/>
  <c r="E309" i="1" s="1"/>
  <c r="E308" i="1" s="1"/>
  <c r="F310" i="1"/>
  <c r="F309" i="1" s="1"/>
  <c r="F308" i="1" s="1"/>
  <c r="E177" i="1"/>
  <c r="E176" i="1" s="1"/>
  <c r="F177" i="1"/>
  <c r="F176" i="1" s="1"/>
  <c r="G177" i="1"/>
  <c r="G176" i="1" s="1"/>
  <c r="G254" i="1"/>
  <c r="F254" i="1"/>
  <c r="F191" i="1" s="1"/>
  <c r="F186" i="1" s="1"/>
  <c r="G559" i="1"/>
  <c r="G548" i="1" s="1"/>
  <c r="G541" i="1" s="1"/>
  <c r="F559" i="1"/>
  <c r="F548" i="1" s="1"/>
  <c r="F541" i="1" s="1"/>
  <c r="F355" i="1"/>
  <c r="F354" i="1" s="1"/>
  <c r="F338" i="1" s="1"/>
  <c r="G355" i="1"/>
  <c r="G354" i="1" s="1"/>
  <c r="G338" i="1" s="1"/>
  <c r="E559" i="1"/>
  <c r="E548" i="1" s="1"/>
  <c r="E541" i="1" s="1"/>
  <c r="F332" i="1"/>
  <c r="F324" i="1" s="1"/>
  <c r="F323" i="1" s="1"/>
  <c r="G332" i="1"/>
  <c r="G324" i="1" s="1"/>
  <c r="G323" i="1" s="1"/>
  <c r="E332" i="1"/>
  <c r="E324" i="1" s="1"/>
  <c r="E323" i="1" s="1"/>
  <c r="E171" i="1" l="1"/>
  <c r="E170" i="1" s="1"/>
  <c r="G171" i="1"/>
  <c r="G170" i="1" s="1"/>
  <c r="F171" i="1"/>
  <c r="F170" i="1" s="1"/>
  <c r="E307" i="1"/>
  <c r="G191" i="1"/>
  <c r="G186" i="1" s="1"/>
  <c r="E191" i="1"/>
  <c r="E186" i="1" s="1"/>
  <c r="F385" i="1"/>
  <c r="F380" i="1" s="1"/>
  <c r="G385" i="1"/>
  <c r="G380" i="1" s="1"/>
  <c r="F307" i="1"/>
  <c r="G307" i="1"/>
  <c r="E159" i="1" l="1"/>
  <c r="F159" i="1"/>
  <c r="G159" i="1"/>
  <c r="F376" i="1" l="1"/>
  <c r="F337" i="1" s="1"/>
  <c r="G376" i="1"/>
  <c r="G337" i="1" s="1"/>
  <c r="G940" i="1"/>
  <c r="F940" i="1"/>
  <c r="E940" i="1"/>
  <c r="G937" i="1"/>
  <c r="F937" i="1"/>
  <c r="E937" i="1"/>
  <c r="G934" i="1"/>
  <c r="F934" i="1"/>
  <c r="E934" i="1"/>
  <c r="G929" i="1"/>
  <c r="G928" i="1" s="1"/>
  <c r="F929" i="1"/>
  <c r="F928" i="1" s="1"/>
  <c r="E929" i="1"/>
  <c r="E928" i="1" s="1"/>
  <c r="G982" i="1"/>
  <c r="G979" i="1" s="1"/>
  <c r="F982" i="1"/>
  <c r="F979" i="1" s="1"/>
  <c r="E982" i="1"/>
  <c r="E979" i="1" s="1"/>
  <c r="G977" i="1"/>
  <c r="G976" i="1" s="1"/>
  <c r="F977" i="1"/>
  <c r="F976" i="1" s="1"/>
  <c r="E977" i="1"/>
  <c r="E976" i="1" s="1"/>
  <c r="G840" i="1"/>
  <c r="F840" i="1"/>
  <c r="G838" i="1"/>
  <c r="F838" i="1"/>
  <c r="G829" i="1"/>
  <c r="F829" i="1"/>
  <c r="E829" i="1"/>
  <c r="G825" i="1"/>
  <c r="F825" i="1"/>
  <c r="E825" i="1"/>
  <c r="G821" i="1"/>
  <c r="F821" i="1"/>
  <c r="E821" i="1"/>
  <c r="G819" i="1"/>
  <c r="F819" i="1"/>
  <c r="E819" i="1"/>
  <c r="G814" i="1"/>
  <c r="F814" i="1"/>
  <c r="E814" i="1"/>
  <c r="G812" i="1"/>
  <c r="F812" i="1"/>
  <c r="E812" i="1"/>
  <c r="E803" i="1"/>
  <c r="G803" i="1"/>
  <c r="F803" i="1"/>
  <c r="G800" i="1"/>
  <c r="F800" i="1"/>
  <c r="E800" i="1"/>
  <c r="G798" i="1"/>
  <c r="F798" i="1"/>
  <c r="E798" i="1"/>
  <c r="G774" i="1"/>
  <c r="G773" i="1" s="1"/>
  <c r="G772" i="1" s="1"/>
  <c r="G771" i="1" s="1"/>
  <c r="F774" i="1"/>
  <c r="F773" i="1" s="1"/>
  <c r="F772" i="1" s="1"/>
  <c r="F771" i="1" s="1"/>
  <c r="E774" i="1"/>
  <c r="E773" i="1" s="1"/>
  <c r="E772" i="1" s="1"/>
  <c r="E771" i="1" s="1"/>
  <c r="G766" i="1"/>
  <c r="F766" i="1"/>
  <c r="E766" i="1"/>
  <c r="G763" i="1"/>
  <c r="F763" i="1"/>
  <c r="E763" i="1"/>
  <c r="G761" i="1"/>
  <c r="F761" i="1"/>
  <c r="E761" i="1"/>
  <c r="G751" i="1"/>
  <c r="F751" i="1"/>
  <c r="E751" i="1"/>
  <c r="G749" i="1"/>
  <c r="F749" i="1"/>
  <c r="E749" i="1"/>
  <c r="G747" i="1"/>
  <c r="F747" i="1"/>
  <c r="E747" i="1"/>
  <c r="G743" i="1"/>
  <c r="F743" i="1"/>
  <c r="E743" i="1"/>
  <c r="G736" i="1"/>
  <c r="F736" i="1"/>
  <c r="E736" i="1"/>
  <c r="G734" i="1"/>
  <c r="F734" i="1"/>
  <c r="G732" i="1"/>
  <c r="F732" i="1"/>
  <c r="E732" i="1"/>
  <c r="G730" i="1"/>
  <c r="F730" i="1"/>
  <c r="E730" i="1"/>
  <c r="G726" i="1"/>
  <c r="F726" i="1"/>
  <c r="E726" i="1"/>
  <c r="G722" i="1"/>
  <c r="F722" i="1"/>
  <c r="E722" i="1"/>
  <c r="G720" i="1"/>
  <c r="F720" i="1"/>
  <c r="E720" i="1"/>
  <c r="E718" i="1"/>
  <c r="G718" i="1"/>
  <c r="F718" i="1"/>
  <c r="G716" i="1"/>
  <c r="F716" i="1"/>
  <c r="E716" i="1"/>
  <c r="G684" i="1"/>
  <c r="G681" i="1" s="1"/>
  <c r="F684" i="1"/>
  <c r="F681" i="1" s="1"/>
  <c r="E684" i="1"/>
  <c r="E681" i="1" s="1"/>
  <c r="G679" i="1"/>
  <c r="F679" i="1"/>
  <c r="E679" i="1"/>
  <c r="G676" i="1"/>
  <c r="F676" i="1"/>
  <c r="E676" i="1"/>
  <c r="G674" i="1"/>
  <c r="F674" i="1"/>
  <c r="E674" i="1"/>
  <c r="E668" i="1"/>
  <c r="E667" i="1" s="1"/>
  <c r="E666" i="1" s="1"/>
  <c r="G668" i="1"/>
  <c r="G667" i="1" s="1"/>
  <c r="G666" i="1" s="1"/>
  <c r="F668" i="1"/>
  <c r="F667" i="1" s="1"/>
  <c r="F666" i="1" s="1"/>
  <c r="G993" i="1"/>
  <c r="F993" i="1"/>
  <c r="E993" i="1"/>
  <c r="G991" i="1"/>
  <c r="F991" i="1"/>
  <c r="E991" i="1"/>
  <c r="G971" i="1"/>
  <c r="F971" i="1"/>
  <c r="E971" i="1"/>
  <c r="G969" i="1"/>
  <c r="F969" i="1"/>
  <c r="E969" i="1"/>
  <c r="G957" i="1"/>
  <c r="G956" i="1" s="1"/>
  <c r="G952" i="1" s="1"/>
  <c r="F957" i="1"/>
  <c r="F956" i="1" s="1"/>
  <c r="F952" i="1" s="1"/>
  <c r="E957" i="1"/>
  <c r="E956" i="1" s="1"/>
  <c r="E952" i="1" s="1"/>
  <c r="G948" i="1"/>
  <c r="G947" i="1" s="1"/>
  <c r="G946" i="1" s="1"/>
  <c r="G945" i="1" s="1"/>
  <c r="F948" i="1"/>
  <c r="F947" i="1" s="1"/>
  <c r="F946" i="1" s="1"/>
  <c r="F945" i="1" s="1"/>
  <c r="E948" i="1"/>
  <c r="E947" i="1" s="1"/>
  <c r="E946" i="1" s="1"/>
  <c r="E945" i="1" s="1"/>
  <c r="E944" i="1" s="1"/>
  <c r="F824" i="1" l="1"/>
  <c r="E824" i="1"/>
  <c r="G824" i="1"/>
  <c r="E806" i="1"/>
  <c r="F806" i="1"/>
  <c r="G806" i="1"/>
  <c r="E713" i="1"/>
  <c r="E975" i="1"/>
  <c r="E974" i="1" s="1"/>
  <c r="E797" i="1"/>
  <c r="G797" i="1"/>
  <c r="F797" i="1"/>
  <c r="F713" i="1"/>
  <c r="G713" i="1"/>
  <c r="E742" i="1"/>
  <c r="G968" i="1"/>
  <c r="G967" i="1" s="1"/>
  <c r="G951" i="1" s="1"/>
  <c r="G950" i="1" s="1"/>
  <c r="F968" i="1"/>
  <c r="F967" i="1" s="1"/>
  <c r="F951" i="1" s="1"/>
  <c r="F950" i="1" s="1"/>
  <c r="E990" i="1"/>
  <c r="E989" i="1" s="1"/>
  <c r="E984" i="1" s="1"/>
  <c r="F990" i="1"/>
  <c r="F989" i="1" s="1"/>
  <c r="F984" i="1" s="1"/>
  <c r="G990" i="1"/>
  <c r="G989" i="1" s="1"/>
  <c r="G984" i="1" s="1"/>
  <c r="G933" i="1"/>
  <c r="G927" i="1" s="1"/>
  <c r="G926" i="1" s="1"/>
  <c r="G912" i="1" s="1"/>
  <c r="F975" i="1"/>
  <c r="F974" i="1" s="1"/>
  <c r="E933" i="1"/>
  <c r="E927" i="1" s="1"/>
  <c r="E926" i="1" s="1"/>
  <c r="E912" i="1" s="1"/>
  <c r="F933" i="1"/>
  <c r="F927" i="1" s="1"/>
  <c r="F926" i="1" s="1"/>
  <c r="F912" i="1" s="1"/>
  <c r="G975" i="1"/>
  <c r="G974" i="1" s="1"/>
  <c r="G834" i="1"/>
  <c r="F834" i="1"/>
  <c r="G844" i="1"/>
  <c r="F844" i="1"/>
  <c r="E844" i="1"/>
  <c r="E760" i="1"/>
  <c r="F742" i="1"/>
  <c r="F760" i="1"/>
  <c r="G742" i="1"/>
  <c r="E673" i="1"/>
  <c r="E672" i="1" s="1"/>
  <c r="E665" i="1" s="1"/>
  <c r="E664" i="1" s="1"/>
  <c r="G673" i="1"/>
  <c r="G672" i="1" s="1"/>
  <c r="G665" i="1" s="1"/>
  <c r="F673" i="1"/>
  <c r="F672" i="1" s="1"/>
  <c r="G760" i="1"/>
  <c r="E968" i="1"/>
  <c r="E967" i="1" s="1"/>
  <c r="E951" i="1" s="1"/>
  <c r="E950" i="1" s="1"/>
  <c r="F944" i="1"/>
  <c r="G944" i="1"/>
  <c r="E759" i="1" l="1"/>
  <c r="E754" i="1" s="1"/>
  <c r="E753" i="1" s="1"/>
  <c r="G759" i="1"/>
  <c r="F759" i="1"/>
  <c r="E833" i="1"/>
  <c r="E796" i="1" s="1"/>
  <c r="E795" i="1" s="1"/>
  <c r="E794" i="1" s="1"/>
  <c r="F665" i="1"/>
  <c r="F664" i="1" s="1"/>
  <c r="G664" i="1"/>
  <c r="E973" i="1"/>
  <c r="E943" i="1" s="1"/>
  <c r="G973" i="1"/>
  <c r="G943" i="1" s="1"/>
  <c r="F973" i="1"/>
  <c r="F943" i="1" s="1"/>
  <c r="G833" i="1"/>
  <c r="G796" i="1" s="1"/>
  <c r="G795" i="1" s="1"/>
  <c r="G794" i="1" s="1"/>
  <c r="F833" i="1"/>
  <c r="F796" i="1" s="1"/>
  <c r="F795" i="1" s="1"/>
  <c r="F794" i="1" s="1"/>
  <c r="G712" i="1"/>
  <c r="G687" i="1" s="1"/>
  <c r="E712" i="1"/>
  <c r="E687" i="1" s="1"/>
  <c r="F712" i="1"/>
  <c r="F687" i="1" s="1"/>
  <c r="F754" i="1" l="1"/>
  <c r="F753" i="1" s="1"/>
  <c r="G754" i="1"/>
  <c r="G753" i="1" s="1"/>
  <c r="F686" i="1"/>
  <c r="E686" i="1"/>
  <c r="G686" i="1"/>
  <c r="G1003" i="1"/>
  <c r="G1002" i="1" s="1"/>
  <c r="G1001" i="1" s="1"/>
  <c r="G1000" i="1" s="1"/>
  <c r="F1003" i="1"/>
  <c r="F1002" i="1" s="1"/>
  <c r="F1001" i="1" s="1"/>
  <c r="F1000" i="1" s="1"/>
  <c r="E1003" i="1"/>
  <c r="E1002" i="1" s="1"/>
  <c r="E1001" i="1" s="1"/>
  <c r="E1000" i="1" s="1"/>
  <c r="G901" i="1"/>
  <c r="F901" i="1"/>
  <c r="E901" i="1"/>
  <c r="G899" i="1"/>
  <c r="F899" i="1"/>
  <c r="E899" i="1"/>
  <c r="G895" i="1"/>
  <c r="G894" i="1" s="1"/>
  <c r="G893" i="1" s="1"/>
  <c r="F895" i="1"/>
  <c r="F894" i="1" s="1"/>
  <c r="F893" i="1" s="1"/>
  <c r="E895" i="1"/>
  <c r="E894" i="1" s="1"/>
  <c r="E893" i="1" s="1"/>
  <c r="G792" i="1"/>
  <c r="F792" i="1"/>
  <c r="E792" i="1"/>
  <c r="G790" i="1"/>
  <c r="F790" i="1"/>
  <c r="E790" i="1"/>
  <c r="G788" i="1"/>
  <c r="F788" i="1"/>
  <c r="E788" i="1"/>
  <c r="G784" i="1"/>
  <c r="G783" i="1" s="1"/>
  <c r="G782" i="1" s="1"/>
  <c r="F784" i="1"/>
  <c r="F783" i="1" s="1"/>
  <c r="F782" i="1" s="1"/>
  <c r="E784" i="1"/>
  <c r="E783" i="1" s="1"/>
  <c r="E782" i="1" s="1"/>
  <c r="E898" i="1" l="1"/>
  <c r="E897" i="1" s="1"/>
  <c r="E892" i="1" s="1"/>
  <c r="F898" i="1"/>
  <c r="F897" i="1" s="1"/>
  <c r="F892" i="1" s="1"/>
  <c r="G898" i="1"/>
  <c r="G897" i="1" s="1"/>
  <c r="G892" i="1" s="1"/>
  <c r="E787" i="1"/>
  <c r="E786" i="1" s="1"/>
  <c r="F787" i="1"/>
  <c r="F786" i="1" s="1"/>
  <c r="F777" i="1" s="1"/>
  <c r="G787" i="1"/>
  <c r="G786" i="1" s="1"/>
  <c r="G777" i="1" l="1"/>
  <c r="G776" i="1" s="1"/>
  <c r="G663" i="1" s="1"/>
  <c r="F776" i="1"/>
  <c r="F663" i="1" s="1"/>
  <c r="E777" i="1"/>
  <c r="E776" i="1" s="1"/>
  <c r="E663" i="1" s="1"/>
  <c r="G887" i="1"/>
  <c r="F887" i="1"/>
  <c r="E887" i="1"/>
  <c r="G884" i="1"/>
  <c r="F884" i="1"/>
  <c r="E884" i="1"/>
  <c r="G882" i="1"/>
  <c r="F882" i="1"/>
  <c r="E882" i="1"/>
  <c r="G879" i="1"/>
  <c r="F879" i="1"/>
  <c r="E879" i="1"/>
  <c r="G876" i="1"/>
  <c r="F876" i="1"/>
  <c r="E876" i="1"/>
  <c r="G872" i="1"/>
  <c r="G871" i="1" s="1"/>
  <c r="G870" i="1" s="1"/>
  <c r="F872" i="1"/>
  <c r="F871" i="1" s="1"/>
  <c r="F870" i="1" s="1"/>
  <c r="E872" i="1"/>
  <c r="E871" i="1" s="1"/>
  <c r="E870" i="1" s="1"/>
  <c r="E866" i="1"/>
  <c r="E865" i="1" s="1"/>
  <c r="G866" i="1"/>
  <c r="G865" i="1" s="1"/>
  <c r="G864" i="1" s="1"/>
  <c r="G849" i="1" s="1"/>
  <c r="F866" i="1"/>
  <c r="F865" i="1" s="1"/>
  <c r="F864" i="1" s="1"/>
  <c r="F849" i="1" s="1"/>
  <c r="G142" i="1"/>
  <c r="F142" i="1"/>
  <c r="E142" i="1"/>
  <c r="G140" i="1"/>
  <c r="F140" i="1"/>
  <c r="E140" i="1"/>
  <c r="G136" i="1"/>
  <c r="G135" i="1" s="1"/>
  <c r="G134" i="1" s="1"/>
  <c r="F136" i="1"/>
  <c r="F135" i="1" s="1"/>
  <c r="F134" i="1" s="1"/>
  <c r="E136" i="1"/>
  <c r="E135" i="1" s="1"/>
  <c r="E134" i="1" s="1"/>
  <c r="F848" i="1" l="1"/>
  <c r="G848" i="1"/>
  <c r="E864" i="1"/>
  <c r="E849" i="1" s="1"/>
  <c r="F881" i="1"/>
  <c r="E875" i="1"/>
  <c r="G144" i="1"/>
  <c r="F144" i="1"/>
  <c r="F139" i="1" s="1"/>
  <c r="E144" i="1"/>
  <c r="G875" i="1"/>
  <c r="F886" i="1"/>
  <c r="F875" i="1"/>
  <c r="E886" i="1"/>
  <c r="G881" i="1"/>
  <c r="G886" i="1"/>
  <c r="E881" i="1"/>
  <c r="F138" i="1" l="1"/>
  <c r="F133" i="1" s="1"/>
  <c r="F129" i="1" s="1"/>
  <c r="F128" i="1" s="1"/>
  <c r="G139" i="1"/>
  <c r="G138" i="1" s="1"/>
  <c r="G133" i="1" s="1"/>
  <c r="G129" i="1" s="1"/>
  <c r="G128" i="1" s="1"/>
  <c r="E139" i="1"/>
  <c r="E138" i="1" s="1"/>
  <c r="E133" i="1" s="1"/>
  <c r="E129" i="1" s="1"/>
  <c r="E128" i="1" s="1"/>
  <c r="E848" i="1"/>
  <c r="E874" i="1"/>
  <c r="E869" i="1" s="1"/>
  <c r="F874" i="1"/>
  <c r="F869" i="1" s="1"/>
  <c r="F868" i="1" s="1"/>
  <c r="F847" i="1" s="1"/>
  <c r="G874" i="1"/>
  <c r="G869" i="1" s="1"/>
  <c r="G868" i="1" s="1"/>
  <c r="G847" i="1" s="1"/>
  <c r="E127" i="1" l="1"/>
  <c r="G127" i="1"/>
  <c r="F127" i="1"/>
  <c r="E868" i="1"/>
  <c r="E847" i="1" s="1"/>
  <c r="E30" i="1"/>
  <c r="F95" i="1" l="1"/>
  <c r="G95" i="1"/>
  <c r="E95" i="1"/>
  <c r="G70" i="1"/>
  <c r="F70" i="1"/>
  <c r="E70" i="1"/>
  <c r="G48" i="1"/>
  <c r="G47" i="1" s="1"/>
  <c r="G46" i="1" s="1"/>
  <c r="F48" i="1"/>
  <c r="F47" i="1" s="1"/>
  <c r="F46" i="1" s="1"/>
  <c r="E48" i="1"/>
  <c r="E47" i="1" s="1"/>
  <c r="E46" i="1" s="1"/>
  <c r="F43" i="1"/>
  <c r="E43" i="1"/>
  <c r="G41" i="1"/>
  <c r="F41" i="1"/>
  <c r="E41" i="1"/>
  <c r="G36" i="1"/>
  <c r="F36" i="1"/>
  <c r="E36" i="1"/>
  <c r="G30" i="1"/>
  <c r="F30" i="1"/>
  <c r="G13" i="1"/>
  <c r="G12" i="1" s="1"/>
  <c r="G11" i="1" s="1"/>
  <c r="F13" i="1"/>
  <c r="F12" i="1" s="1"/>
  <c r="F11" i="1" s="1"/>
  <c r="E13" i="1"/>
  <c r="E12" i="1" s="1"/>
  <c r="E11" i="1" s="1"/>
  <c r="G93" i="1"/>
  <c r="F93" i="1"/>
  <c r="E93" i="1"/>
  <c r="G26" i="1"/>
  <c r="F26" i="1"/>
  <c r="E26" i="1"/>
  <c r="G23" i="1"/>
  <c r="F23" i="1"/>
  <c r="E23" i="1"/>
  <c r="G21" i="1"/>
  <c r="F21" i="1"/>
  <c r="E21" i="1"/>
  <c r="G19" i="1"/>
  <c r="F19" i="1"/>
  <c r="E19" i="1"/>
  <c r="G17" i="1"/>
  <c r="F17" i="1"/>
  <c r="E17" i="1"/>
  <c r="F35" i="1" l="1"/>
  <c r="E35" i="1"/>
  <c r="E29" i="1" s="1"/>
  <c r="G35" i="1"/>
  <c r="G69" i="1"/>
  <c r="E69" i="1"/>
  <c r="E68" i="1" s="1"/>
  <c r="F69" i="1"/>
  <c r="E16" i="1"/>
  <c r="E15" i="1" s="1"/>
  <c r="G54" i="1"/>
  <c r="G53" i="1" s="1"/>
  <c r="G52" i="1" s="1"/>
  <c r="F54" i="1"/>
  <c r="F53" i="1" s="1"/>
  <c r="F52" i="1" s="1"/>
  <c r="E54" i="1"/>
  <c r="E53" i="1" s="1"/>
  <c r="E52" i="1" s="1"/>
  <c r="G29" i="1"/>
  <c r="G28" i="1" s="1"/>
  <c r="F29" i="1"/>
  <c r="F28" i="1" s="1"/>
  <c r="G16" i="1"/>
  <c r="G15" i="1" s="1"/>
  <c r="F16" i="1"/>
  <c r="F15" i="1" s="1"/>
  <c r="E355" i="1" l="1"/>
  <c r="E354" i="1" s="1"/>
  <c r="E28" i="1"/>
  <c r="E10" i="1" s="1"/>
  <c r="G68" i="1"/>
  <c r="F68" i="1"/>
  <c r="F10" i="1" l="1"/>
  <c r="F1006" i="1" s="1"/>
  <c r="G10" i="1"/>
  <c r="G1006" i="1" s="1"/>
  <c r="E338" i="1"/>
  <c r="E337" i="1" s="1"/>
  <c r="E1006" i="1" s="1"/>
</calcChain>
</file>

<file path=xl/sharedStrings.xml><?xml version="1.0" encoding="utf-8"?>
<sst xmlns="http://schemas.openxmlformats.org/spreadsheetml/2006/main" count="3165" uniqueCount="908">
  <si>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</si>
  <si>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</si>
  <si>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</si>
  <si>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</si>
  <si>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</si>
  <si>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</si>
  <si>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</si>
  <si>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</si>
  <si>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</si>
  <si>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</si>
  <si>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</si>
  <si>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</si>
  <si>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</si>
  <si>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</si>
  <si>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</si>
  <si>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</si>
  <si>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</si>
  <si>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</si>
  <si>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</si>
  <si>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</si>
  <si>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</si>
  <si>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</si>
  <si>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</si>
  <si>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</si>
  <si>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</si>
  <si>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</si>
  <si>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</si>
  <si>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</si>
  <si>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</si>
  <si>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</si>
  <si>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</si>
  <si>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</si>
  <si>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</si>
  <si>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</si>
  <si>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</si>
  <si>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</si>
  <si>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</si>
  <si>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</si>
  <si>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</si>
  <si>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</si>
  <si>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</si>
  <si>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</si>
  <si>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</si>
  <si>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</si>
  <si>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</si>
  <si>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</si>
  <si>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</si>
  <si>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</si>
  <si>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</si>
  <si>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</si>
  <si>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</si>
  <si>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</si>
  <si>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</si>
  <si>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</si>
  <si>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</si>
  <si>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</si>
  <si>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</si>
  <si>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</si>
  <si>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</si>
  <si>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</si>
  <si>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</si>
  <si>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</si>
  <si>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</si>
  <si>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</si>
  <si>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</si>
  <si>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</si>
  <si>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</si>
  <si>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</si>
  <si>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</si>
  <si>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</si>
  <si>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</si>
  <si>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</si>
  <si>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</si>
  <si>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</si>
  <si>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</si>
  <si>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</si>
  <si>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</si>
  <si>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</si>
  <si>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</si>
  <si>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</si>
  <si>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</si>
  <si>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</si>
  <si>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</si>
  <si>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</si>
  <si>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</si>
  <si>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</si>
  <si>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</si>
  <si>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</si>
  <si>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</si>
  <si>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</si>
  <si>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</si>
  <si>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</si>
  <si>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</si>
  <si>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</si>
  <si>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</si>
  <si>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</si>
  <si>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</si>
  <si>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</si>
  <si>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</si>
  <si>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</si>
  <si>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</si>
  <si>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</si>
  <si>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</si>
  <si>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</si>
  <si>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</si>
  <si>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</si>
  <si>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</si>
  <si>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</si>
  <si>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</si>
  <si>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</si>
  <si>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</si>
  <si>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</si>
  <si>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</si>
  <si>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</si>
  <si>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</si>
  <si>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</si>
  <si>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</si>
  <si>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</si>
  <si>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</si>
  <si>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</si>
  <si>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</si>
  <si>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</si>
  <si>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</si>
  <si>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</si>
  <si>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</si>
  <si>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</si>
  <si>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</si>
  <si>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</si>
  <si>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</si>
  <si>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</si>
  <si>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</si>
  <si>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</si>
  <si>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</si>
  <si>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</si>
  <si>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</si>
  <si>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</si>
  <si>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</si>
  <si>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</si>
  <si>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</si>
  <si>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</si>
  <si>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</si>
  <si>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</si>
  <si>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</si>
  <si>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</si>
  <si>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</si>
  <si>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</si>
  <si>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</si>
  <si>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</si>
  <si>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</si>
  <si>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</si>
  <si>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</si>
  <si>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</si>
  <si>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</si>
  <si>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</si>
  <si>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</si>
  <si>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</si>
  <si>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</si>
  <si>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</si>
  <si>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</si>
  <si>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</si>
  <si>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</si>
  <si>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</si>
  <si>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</si>
  <si>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</si>
  <si>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</si>
  <si>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</si>
  <si>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</si>
  <si>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</si>
  <si>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</si>
  <si>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</si>
  <si>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</si>
  <si>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</si>
  <si>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</si>
  <si>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</si>
  <si>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</si>
  <si>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</si>
  <si>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</si>
  <si>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</si>
  <si>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</si>
  <si>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</si>
  <si>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</si>
  <si>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</si>
  <si>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</si>
  <si>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</si>
  <si>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</si>
  <si>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</si>
  <si>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</si>
  <si>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</si>
  <si>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</si>
  <si>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</si>
  <si>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</si>
  <si>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</si>
  <si>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</si>
  <si>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</si>
  <si>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</si>
  <si>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</si>
  <si>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</si>
  <si>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</si>
  <si>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</si>
  <si>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</si>
  <si>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</si>
  <si>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</si>
  <si>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</si>
  <si>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</si>
  <si>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</si>
  <si>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</si>
  <si>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</si>
  <si>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</si>
  <si>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</si>
  <si>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</si>
  <si>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</si>
  <si>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</si>
  <si>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</si>
  <si>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</si>
  <si>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</si>
  <si>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</si>
  <si>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</si>
  <si>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</si>
  <si>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</si>
  <si>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</si>
  <si>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</si>
  <si>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</si>
  <si>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</si>
  <si>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</si>
  <si>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</si>
  <si>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</si>
  <si>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</si>
  <si>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</si>
  <si>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</si>
  <si>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</si>
  <si>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</si>
  <si>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</si>
  <si>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</si>
  <si>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</si>
  <si>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</si>
  <si>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</si>
  <si>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</si>
  <si>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</si>
  <si>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</si>
  <si>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</si>
  <si>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</si>
  <si>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</si>
  <si>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</si>
  <si>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</si>
  <si>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</si>
  <si>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</si>
  <si>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</si>
  <si>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</si>
  <si>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</si>
  <si>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</si>
  <si>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</si>
  <si>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</si>
  <si>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</si>
  <si>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</si>
  <si>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</si>
  <si>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</si>
  <si>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</si>
  <si>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</si>
  <si>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</si>
  <si>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</si>
  <si>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</si>
  <si>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</si>
  <si>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</si>
  <si>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</si>
  <si>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</si>
  <si>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</si>
  <si>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</si>
  <si>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</si>
  <si>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</si>
  <si>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</si>
  <si>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</si>
  <si>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</si>
  <si>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</si>
  <si>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</si>
  <si>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</si>
  <si>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</si>
  <si>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</si>
  <si>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</si>
  <si>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</si>
  <si>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</si>
  <si>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</si>
  <si>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</si>
  <si>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</si>
  <si>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</si>
  <si>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</si>
  <si>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</si>
  <si>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</si>
  <si>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</si>
  <si>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</si>
  <si>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</si>
  <si>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</si>
  <si>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</si>
  <si>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</si>
  <si>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</si>
  <si>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</si>
  <si>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</si>
  <si>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</si>
  <si>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</si>
  <si>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</si>
  <si>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</si>
  <si>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</si>
  <si>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</si>
  <si>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</si>
  <si>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</si>
  <si>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</si>
  <si>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</si>
  <si>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</si>
  <si>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</si>
  <si>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</si>
  <si>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</si>
  <si>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</si>
  <si>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</si>
  <si>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</si>
  <si>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</si>
  <si>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</si>
  <si>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</si>
  <si>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</si>
  <si>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</si>
  <si>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</si>
  <si>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</si>
  <si>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</si>
  <si>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</si>
  <si>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</si>
  <si>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</si>
  <si>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</si>
  <si>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</si>
  <si>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</si>
  <si>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</si>
  <si>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</si>
  <si>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</si>
  <si>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</si>
  <si>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</si>
  <si>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</si>
  <si>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</si>
  <si>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</si>
  <si>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</si>
  <si>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</si>
  <si>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</si>
  <si>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</si>
  <si>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</si>
  <si>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</si>
  <si>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</si>
  <si>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</si>
  <si>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</si>
  <si>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</si>
  <si>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</si>
  <si>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</si>
  <si>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</si>
  <si>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</si>
  <si>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</si>
  <si>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</si>
  <si>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</si>
  <si>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</si>
  <si>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</si>
  <si>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</si>
  <si>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</si>
  <si>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</si>
  <si>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</si>
  <si>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</si>
  <si>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</si>
  <si>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</si>
  <si>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</si>
  <si>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</si>
  <si>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</si>
  <si>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</si>
  <si>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</si>
  <si>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</si>
  <si>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</si>
  <si>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</si>
  <si>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</si>
  <si>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</si>
  <si>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</si>
  <si>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</si>
  <si>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</si>
  <si>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</si>
  <si>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</si>
  <si>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</si>
  <si>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</si>
  <si>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</si>
  <si>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</si>
  <si>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</si>
  <si>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</si>
  <si>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</si>
  <si>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</si>
  <si>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</si>
  <si>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</si>
  <si>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</si>
  <si>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</si>
  <si>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</si>
  <si>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</si>
  <si>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</si>
  <si>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</si>
  <si>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</si>
  <si>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</si>
  <si>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</si>
  <si>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</si>
  <si>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</si>
  <si>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</si>
  <si>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</si>
  <si>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</si>
  <si>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</si>
  <si>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</si>
  <si>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</si>
  <si>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</si>
  <si>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</si>
  <si>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</si>
  <si>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</si>
  <si>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</si>
  <si>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</si>
  <si>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</si>
  <si>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</si>
  <si>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</si>
  <si>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</si>
  <si>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</si>
  <si>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</si>
  <si>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</si>
  <si>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</si>
  <si>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</si>
  <si>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</si>
  <si>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</si>
  <si>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</si>
  <si>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</si>
  <si>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</si>
  <si>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</si>
  <si>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</si>
  <si>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</si>
  <si>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</si>
  <si>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</si>
  <si>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</si>
  <si>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</si>
  <si>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</si>
  <si>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</si>
  <si>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</si>
  <si>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</si>
  <si>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</si>
  <si>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</si>
  <si>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</si>
  <si>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</si>
  <si>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</si>
  <si>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</si>
  <si>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</si>
  <si>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</si>
  <si>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</si>
  <si>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</si>
  <si>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</si>
  <si>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</si>
  <si>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</si>
  <si>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</si>
  <si>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</si>
  <si>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</si>
  <si>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</si>
  <si>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</si>
  <si>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</si>
  <si>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</si>
  <si>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</si>
  <si>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</si>
  <si>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</si>
  <si>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</si>
  <si>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</si>
  <si>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</si>
  <si>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</si>
  <si>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</si>
  <si>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</si>
  <si>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</si>
  <si>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</si>
  <si>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</si>
  <si>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</si>
  <si>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</si>
  <si>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</si>
  <si>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</si>
  <si>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</si>
  <si>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</si>
  <si>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</si>
  <si>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</si>
  <si>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</si>
  <si>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</si>
  <si>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</si>
  <si>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</si>
  <si>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</si>
  <si>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</si>
  <si>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</si>
  <si>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</si>
  <si>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</si>
  <si>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</si>
  <si>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</si>
  <si>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</si>
  <si>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</si>
  <si>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</si>
  <si>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</si>
  <si>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</si>
  <si>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</si>
  <si>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</si>
  <si>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</si>
  <si>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</si>
  <si>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</si>
  <si>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</si>
  <si>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</si>
  <si>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</si>
  <si>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</si>
  <si>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</si>
  <si>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</si>
  <si>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</si>
  <si>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</si>
  <si>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</si>
  <si>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</si>
  <si>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</si>
  <si>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</si>
  <si>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</si>
  <si>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</si>
  <si>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</si>
  <si>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</si>
  <si>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</si>
  <si>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</si>
  <si>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</si>
  <si>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</si>
  <si>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</si>
  <si>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</si>
  <si>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</si>
  <si>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</si>
  <si>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</si>
  <si>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</si>
  <si>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</si>
  <si>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</si>
  <si>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</si>
  <si>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</si>
  <si>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</si>
  <si>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</si>
  <si>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</si>
  <si>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</si>
  <si>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</si>
  <si>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</si>
  <si>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</si>
  <si>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</si>
  <si>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</si>
  <si>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</si>
  <si>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</si>
  <si>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</si>
  <si>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</si>
  <si>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</si>
  <si>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</si>
  <si>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</si>
  <si>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</si>
  <si>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</si>
  <si>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</si>
  <si>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</si>
  <si>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</si>
  <si>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</si>
  <si>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</si>
  <si>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</si>
  <si>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</si>
  <si>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</si>
  <si>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</si>
  <si>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</si>
  <si>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</si>
  <si>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</si>
  <si>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</si>
  <si>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</si>
  <si>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</si>
  <si>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</si>
  <si>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</si>
  <si>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</si>
  <si>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</si>
  <si>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</si>
  <si>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</si>
  <si>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</si>
  <si>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</si>
  <si>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</si>
  <si>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S7405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</si>
  <si>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</si>
  <si>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</si>
  <si>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</si>
  <si>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</si>
  <si>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</si>
  <si>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</si>
  <si>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</si>
  <si>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</si>
  <si>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</si>
  <si>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</si>
  <si>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</si>
  <si>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</si>
  <si>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</si>
  <si>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</si>
  <si>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</si>
  <si>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</si>
  <si>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</si>
  <si>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</si>
  <si>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</si>
  <si>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</si>
  <si>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</si>
  <si>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</si>
  <si>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</si>
  <si>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</si>
  <si>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</si>
  <si>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</si>
  <si>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</si>
  <si>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</si>
  <si>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</si>
  <si>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</si>
  <si>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</si>
  <si>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</si>
  <si>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</si>
  <si>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</si>
  <si>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</si>
  <si>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</si>
  <si>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</si>
  <si>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</si>
  <si>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</si>
  <si>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</si>
  <si>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</si>
  <si>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</si>
  <si>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</si>
  <si>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</si>
  <si>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</si>
  <si>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</si>
  <si>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</si>
  <si>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</si>
  <si>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</si>
  <si>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</si>
  <si>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</si>
  <si>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</si>
  <si>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</si>
  <si>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</si>
  <si>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</si>
  <si>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</si>
  <si>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</si>
  <si>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</si>
  <si>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</si>
  <si>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</si>
  <si>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</si>
  <si>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</si>
  <si>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</si>
  <si>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</si>
  <si>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</si>
  <si>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</si>
  <si>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</si>
  <si>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</si>
  <si>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</si>
  <si>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</si>
  <si>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</si>
  <si>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</si>
  <si>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</si>
  <si>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</si>
  <si>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</si>
  <si>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</si>
  <si>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</si>
  <si>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</si>
  <si>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</si>
  <si>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</si>
  <si>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</si>
  <si>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</si>
  <si>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</si>
  <si>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</si>
  <si>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</si>
  <si>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</si>
  <si>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</si>
  <si>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</si>
  <si>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</si>
  <si>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</si>
  <si>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</si>
  <si>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</si>
  <si>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</si>
  <si>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</si>
  <si>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</si>
  <si>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</si>
  <si>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</si>
  <si>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</si>
  <si>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</si>
  <si>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</si>
  <si>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</si>
  <si>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</si>
  <si>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</si>
  <si>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</si>
  <si>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</si>
  <si>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</si>
  <si>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9Д11И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</si>
  <si>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</si>
  <si>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</si>
  <si>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</si>
  <si>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</si>
  <si>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</si>
  <si>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</si>
  <si>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</si>
  <si>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</si>
  <si>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</si>
  <si>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</si>
  <si>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</si>
  <si>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</si>
  <si>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</si>
  <si>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</si>
  <si>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</si>
  <si>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</si>
  <si>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</si>
  <si>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</si>
  <si>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</si>
  <si>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</si>
  <si>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</si>
  <si>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</si>
  <si>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</si>
  <si>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</si>
  <si>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</si>
  <si>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</si>
  <si>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</si>
  <si>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</si>
  <si>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11 2 01 10784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</si>
  <si>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</si>
  <si>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</si>
  <si>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</si>
  <si>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</si>
  <si>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</si>
  <si>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</si>
  <si>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</si>
  <si>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</si>
  <si>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</si>
  <si>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</si>
  <si>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</si>
  <si>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</si>
  <si>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</si>
  <si>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</si>
  <si>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</si>
  <si>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</si>
  <si>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</si>
  <si>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</si>
  <si>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00 0 00 20030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</si>
  <si>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</si>
  <si>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Муниципальный проект города Благовещенска "Развитие инфраструктуры сферы культуры в городе Благовещенске"</t>
  </si>
  <si>
    <t>05 2 03 00000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</si>
  <si>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</si>
  <si>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04 2 01 10595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</si>
  <si>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</si>
  <si>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</si>
  <si>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</si>
  <si>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>11 2 01 9Д201</t>
  </si>
  <si>
    <t>02 1 И8 9Д11Н</t>
  </si>
  <si>
    <t>11 2 01 10787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</si>
  <si>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</si>
  <si>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</si>
  <si>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</si>
  <si>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</si>
  <si>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Обустройство кладбища в районе с. Белогорье (устройство водопропускной трубы в районе проезда)</t>
  </si>
  <si>
    <t>11 2 01 10861</t>
  </si>
  <si>
    <t>Устройство накопителей жидких бытовых отходов в неблагоустроенном жилищном
фонде</t>
  </si>
  <si>
    <t>03 2 02 10224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</si>
  <si>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</si>
  <si>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</si>
  <si>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03 2 01 S7424</t>
  </si>
  <si>
    <t>03 2 01 S7425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</si>
  <si>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</si>
  <si>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S7426</t>
  </si>
  <si>
    <t>Перенос шкафа управления освещением МКД по ул. Горького,147</t>
  </si>
  <si>
    <t>11 3 01 10910</t>
  </si>
  <si>
    <t>Внесение в ЕГРН сведений о границах городского округа, населенных пунктах в его составе</t>
  </si>
  <si>
    <t>10 2 01 10260</t>
  </si>
  <si>
    <t>10 2 01 S0440</t>
  </si>
  <si>
    <t>Устройство парковки по ул. Дьяченко вдоль Храма Ксении Петербургской</t>
  </si>
  <si>
    <t>02 2 01 9Д007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</si>
  <si>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</si>
  <si>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Ремонт тротуаров улично-дорожной сети г. Благовещенска</t>
  </si>
  <si>
    <t>02 2 01 9Д009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</si>
  <si>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</si>
  <si>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</si>
  <si>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03 2 01 10716</t>
  </si>
  <si>
    <t>03 2 01 10717</t>
  </si>
  <si>
    <t>03 2 01 10718</t>
  </si>
  <si>
    <t>Благоустройство общественной территории ул. Зейская – ул. Шевченко</t>
  </si>
  <si>
    <t>11 2 01 10788</t>
  </si>
  <si>
    <t>Выплата возмещения за изымаемые жилые помещения</t>
  </si>
  <si>
    <t>01 1 И2 67483</t>
  </si>
  <si>
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</si>
  <si>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04 3 02 10080</t>
  </si>
  <si>
    <t>04 3 02 10640</t>
  </si>
  <si>
    <t>Устройство подъемника в МКД для маломобильных групп населения</t>
  </si>
  <si>
    <t>03 2 02 10225</t>
  </si>
  <si>
    <t>01 1 И2 6748S</t>
  </si>
  <si>
    <t>Благоустройство площадок для дрессировки и выгула собак</t>
  </si>
  <si>
    <t>11 2 01 10789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</si>
  <si>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</si>
  <si>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</si>
  <si>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03 2 01 61055</t>
  </si>
  <si>
    <t>03 2 01 61058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</si>
  <si>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</si>
  <si>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</si>
  <si>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</si>
  <si>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S0661</t>
  </si>
  <si>
    <t>03 2 01 S0662</t>
  </si>
  <si>
    <t>03 2 01 S0663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</si>
  <si>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</si>
  <si>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</si>
  <si>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</si>
  <si>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</si>
  <si>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</si>
  <si>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</si>
  <si>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</si>
  <si>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</si>
  <si>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</si>
  <si>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</si>
  <si>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S7429</t>
  </si>
  <si>
    <t>03 2 01 S7430</t>
  </si>
  <si>
    <t>03 2 01 S7431</t>
  </si>
  <si>
    <t>03 2 01 S7432</t>
  </si>
  <si>
    <t>03 2 01 S7433</t>
  </si>
  <si>
    <t>03 2 01 S7434</t>
  </si>
  <si>
    <t>03 2 01 S7436</t>
  </si>
  <si>
    <t>03 2 01 S7437</t>
  </si>
  <si>
    <t>03 2 01 S7438</t>
  </si>
  <si>
    <t>03 2 01 S7440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</si>
  <si>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</si>
  <si>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</si>
  <si>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Расходы, направленные на модернизацию коммунальной инфраструктуры (Ремонт инженерных сетей пос. Мухинка (от ТК 1 до ТК 5)</t>
  </si>
  <si>
    <t>03 2 01 S7428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</si>
  <si>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</si>
  <si>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S7435</t>
  </si>
  <si>
    <t>Создание и оснащение плоскостных сооружений</t>
  </si>
  <si>
    <t>06 2 05 10170</t>
  </si>
  <si>
    <t>Разработка плана действий по ликвидации последствий аварийных ситуаций в сфере теплоснабжения</t>
  </si>
  <si>
    <t>03 2 01 10715</t>
  </si>
  <si>
    <t>Предпроектная проработка земельного участка под строительство кладбища</t>
  </si>
  <si>
    <t>11 2 01 10862</t>
  </si>
  <si>
    <t>Установка и демонтаж временных опор</t>
  </si>
  <si>
    <t>11 3 01 10905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</si>
  <si>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</si>
  <si>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03 2 01 10720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</si>
  <si>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</si>
  <si>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</si>
  <si>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</si>
  <si>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</si>
  <si>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</si>
  <si>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</si>
  <si>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9Д11Т</t>
  </si>
  <si>
    <t>02 1 И8 9Д11У</t>
  </si>
  <si>
    <t>02 1 И8 9Д11Ф</t>
  </si>
  <si>
    <t>02 1 И8 9Д11Ц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</si>
  <si>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</si>
  <si>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</si>
  <si>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</si>
  <si>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</si>
  <si>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</si>
  <si>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02 2 02 61051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</si>
  <si>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</si>
  <si>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</si>
  <si>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</si>
  <si>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05 2 03 97501</t>
  </si>
  <si>
    <r>
      <t>Реализация мероприятий по дополнительному финансовому обеспечению деятельности групп продленного дня в муниципальных</t>
    </r>
    <r>
      <rPr>
        <b/>
        <sz val="12"/>
        <rFont val="Times New Roman"/>
        <family val="1"/>
        <charset val="204"/>
      </rPr>
      <t xml:space="preserve"> общеобразовательных</t>
    </r>
    <r>
      <rPr>
        <sz val="12"/>
        <rFont val="Times New Roman"/>
        <family val="1"/>
        <charset val="204"/>
      </rPr>
      <t xml:space="preserve"> организациях для обучающихся начальных классов</t>
    </r>
  </si>
  <si>
    <t>04 1 Я2 80450</t>
  </si>
  <si>
    <t>Текущий ремонт военного комиссариата</t>
  </si>
  <si>
    <t>00 0 00 00092</t>
  </si>
  <si>
    <t>Повышение престижа педагогической деятельности и рост профессионального мастерства работников образования города Благовещенска</t>
  </si>
  <si>
    <t>04 3 03 10030</t>
  </si>
  <si>
    <t>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</si>
  <si>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03 2 01 10710</t>
  </si>
  <si>
    <t>Выполнение работ по демонтажу металлоконструкций на объекте «Реконструкция очистных сооружений канализации г. Благовещенск"</t>
  </si>
  <si>
    <t>03 2 01 10721</t>
  </si>
  <si>
    <t>Реализация инфраструктурных проектов (мероприятий) в сфере жилищно-коммунального хозяйства, одобренных президиумом (штабом) Правительственной комиссии по региональному развитию в Российской Федерации</t>
  </si>
  <si>
    <t>03 2 01 97503</t>
  </si>
  <si>
    <t>Расходы, направленные на модернизацию коммунальной инфраструктуры</t>
  </si>
  <si>
    <t>03 2 01 S7400</t>
  </si>
  <si>
    <t>Расходы, направленные на модернизацию коммунальной инфраструктуры (Ремонт тепловой сети к МКД по адресу г. Благовещенск, ул. Северная, 93)</t>
  </si>
  <si>
    <t>Расходы, направленные на модернизацию коммунальной инфраструктуры (Ремонт тепловой сети к МКД по адресу г. Благовещенск, ул. 50 лет Октября, 71)</t>
  </si>
  <si>
    <t>Расходы, направленные на модернизацию коммунальной инфраструктуры (Ремонт тепловой сети к домам по ул. Игнатьевское шоссе, 16/2, 16/3, 16/4)</t>
  </si>
  <si>
    <t>03 2 01 S7441</t>
  </si>
  <si>
    <t>03 2 01 S7442</t>
  </si>
  <si>
    <t>03 2 01 S7443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</si>
  <si>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«Тепловая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Благовещенск»</t>
  </si>
  <si>
    <t>03 2 01 10719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</si>
  <si>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</si>
  <si>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05 2 02 S0401</t>
  </si>
  <si>
    <t>05 2 02 S0402</t>
  </si>
  <si>
    <t>11 1 И4 А5550</t>
  </si>
  <si>
    <t>Организация погребения погибших (умерших) участников специальной военной операции</t>
  </si>
  <si>
    <t>00 0 00 70080</t>
  </si>
  <si>
    <t>Проведение инженерно-геологических изысканий по объекту «Благоустройство территории по ул. Набережная в г. Благовещенске, «Левашовская роща»</t>
  </si>
  <si>
    <t>Проведение исследований зеленых насаждений с целью выявления редких и охраняемых видов растений, включенных в Красную книгу РФ и/или в Красную книгу Амурской области в границах объекта «Благоустройство территории по ул. Набережная в г. Благовещенске, «Левашовская роща»</t>
  </si>
  <si>
    <t>11 2 01 10821</t>
  </si>
  <si>
    <t>11 2 01 10822</t>
  </si>
  <si>
    <t>02 2 01 9Д010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</si>
  <si>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(Инструментальная оценка технического состояния (диагностика) дорог)</t>
  </si>
  <si>
    <t>02 2 01 SД146</t>
  </si>
  <si>
    <t>Осуществление дорожной деятельности в рамках реализации национального проекта "Инфраструктура для жизни"</t>
  </si>
  <si>
    <t>02 1 И8 9Д110</t>
  </si>
  <si>
    <t>Оказание финансовой поддержки субъектам малого и среднего предпринимательства на финансовое обеспечение затрат по приобретению двухэтажного туристического автобуса для обслуживания туристических маршрутов</t>
  </si>
  <si>
    <t>09 2 01 60070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</si>
  <si>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(грант участникам специальной военной операции на реализацию проектов создания, развития и (или) модернизации производства товаров (работ, услуг))</t>
  </si>
  <si>
    <t>09 2 01 S0132</t>
  </si>
  <si>
    <t>Другие вопросы в области национальной безопасности и правоохранительной деятельности</t>
  </si>
  <si>
    <t>0314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</si>
  <si>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</si>
  <si>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</si>
  <si>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Шевченко от ул. Зейская до ул. Амурская)</t>
  </si>
  <si>
    <t>02 1 И8 9Д11Ш</t>
  </si>
  <si>
    <t>"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</si>
  <si>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</si>
  <si>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</si>
  <si>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</si>
  <si>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</si>
  <si>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</si>
  <si>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</si>
  <si>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Обустройство примыкания к автомобильной дороге по ул. Ленина на участке от ул. Политехническая до ул. Чайковского</t>
  </si>
  <si>
    <t>Устройство наружного освещения автобусной остановки санаторий "Василек"</t>
  </si>
  <si>
    <t>Проведение оценки рыночной стоимости оборудования на объекте "Реконструкция очистных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</si>
  <si>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</si>
  <si>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</si>
  <si>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</si>
  <si>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Благоустройство территории военного госпиталя, расположенного по ул. Ленина, 172/4</t>
  </si>
  <si>
    <t>Обустройство сквера в районе ул. Калинина-ул. Ломоносова (устройство электроснабжения и видеонаблюдения)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</si>
  <si>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</si>
  <si>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</si>
  <si>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Муниципальный проект города Благовещенска "Профилактика преступлений и правонарушений на территории города Благовещенска"</t>
  </si>
  <si>
    <t>Приложение № 3
к решению Благовещенской 
городской Думы</t>
  </si>
  <si>
    <t>(в ред. от 27.11.2025 № 19/103)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</si>
</sst>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\ _₽_-;\-* #,##0.0\ _₽_-;_-* &quot;-&quot;?\ _₽_-;_-@_-"/>
    <numFmt numFmtId="166" formatCode="?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 wrapText="1"/>
    </xf>
    <xf numFmtId="1" fontId="5" fillId="0" borderId="0" xfId="1" applyNumberFormat="1" applyFont="1" applyAlignment="1">
      <alignment horizontal="center" vertical="top" wrapText="1"/>
    </xf>
    <xf numFmtId="49" fontId="5" fillId="0" borderId="0" xfId="0" applyNumberFormat="1" applyFont="1"/>
    <xf numFmtId="0" fontId="7" fillId="0" borderId="0" xfId="4" applyFont="1" applyAlignment="1">
      <alignment horizontal="center" vertical="top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49" fontId="11" fillId="0" borderId="0" xfId="1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49" fontId="11" fillId="0" borderId="0" xfId="4" applyNumberFormat="1" applyFont="1" applyAlignment="1">
      <alignment horizontal="center" vertical="top"/>
    </xf>
    <xf numFmtId="49" fontId="11" fillId="0" borderId="0" xfId="0" applyNumberFormat="1" applyFont="1"/>
    <xf numFmtId="49" fontId="6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horizontal="left" vertical="top" wrapText="1"/>
    </xf>
    <xf numFmtId="1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1" fontId="5" fillId="0" borderId="0" xfId="5" applyNumberFormat="1" applyFont="1" applyAlignment="1">
      <alignment horizontal="left" vertical="top" wrapText="1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5" fillId="0" borderId="0" xfId="4" applyNumberFormat="1" applyFont="1" applyAlignment="1">
      <alignment vertical="top" wrapText="1"/>
    </xf>
    <xf numFmtId="1" fontId="11" fillId="0" borderId="0" xfId="4" applyNumberFormat="1" applyFont="1" applyAlignment="1">
      <alignment vertical="top" wrapText="1"/>
    </xf>
    <xf numFmtId="0" fontId="5" fillId="0" borderId="0" xfId="4" applyFont="1" applyAlignment="1">
      <alignment horizontal="left" vertical="top" wrapText="1"/>
    </xf>
    <xf numFmtId="1" fontId="7" fillId="0" borderId="0" xfId="4" applyNumberFormat="1" applyFont="1" applyAlignment="1">
      <alignment vertical="top" wrapText="1"/>
    </xf>
    <xf numFmtId="0" fontId="5" fillId="0" borderId="0" xfId="4" applyFont="1" applyAlignment="1">
      <alignment vertical="top" wrapText="1"/>
    </xf>
    <xf numFmtId="1" fontId="11" fillId="0" borderId="0" xfId="1" applyNumberFormat="1" applyFont="1" applyAlignment="1">
      <alignment vertical="top" wrapText="1"/>
    </xf>
    <xf numFmtId="1" fontId="11" fillId="0" borderId="0" xfId="1" applyNumberFormat="1" applyFont="1" applyAlignment="1">
      <alignment horizontal="left" vertical="top" wrapText="1"/>
    </xf>
    <xf numFmtId="1" fontId="11" fillId="0" borderId="0" xfId="1" applyNumberFormat="1" applyFont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1" fontId="11" fillId="0" borderId="0" xfId="1" applyNumberFormat="1" applyFont="1" applyAlignment="1">
      <alignment horizontal="left" wrapText="1"/>
    </xf>
    <xf numFmtId="1" fontId="5" fillId="0" borderId="0" xfId="1" applyNumberFormat="1" applyFont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11" fillId="0" borderId="0" xfId="3" applyFont="1" applyAlignment="1">
      <alignment vertical="top" wrapText="1"/>
    </xf>
    <xf numFmtId="1" fontId="11" fillId="0" borderId="0" xfId="4" applyNumberFormat="1" applyFont="1" applyAlignment="1">
      <alignment horizontal="left" vertical="top" wrapText="1"/>
    </xf>
    <xf numFmtId="0" fontId="11" fillId="0" borderId="0" xfId="1" applyFont="1" applyAlignment="1">
      <alignment vertical="top" wrapText="1"/>
    </xf>
    <xf numFmtId="49" fontId="5" fillId="0" borderId="0" xfId="0" applyNumberFormat="1" applyFont="1" applyAlignment="1">
      <alignment horizontal="left" vertical="center" wrapText="1"/>
    </xf>
    <xf numFmtId="0" fontId="11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center" wrapText="1"/>
    </xf>
    <xf numFmtId="0" fontId="5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1" fontId="5" fillId="0" borderId="0" xfId="0" applyNumberFormat="1" applyFont="1" applyAlignment="1">
      <alignment horizontal="left" vertical="top" wrapText="1"/>
    </xf>
    <xf numFmtId="1" fontId="5" fillId="0" borderId="0" xfId="6" applyNumberFormat="1" applyFont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vertical="top" wrapText="1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" fontId="11" fillId="2" borderId="0" xfId="1" applyNumberFormat="1" applyFont="1" applyFill="1" applyAlignment="1">
      <alignment horizontal="left" vertical="top" wrapText="1"/>
    </xf>
    <xf numFmtId="49" fontId="11" fillId="2" borderId="0" xfId="1" applyNumberFormat="1" applyFont="1" applyFill="1" applyAlignment="1">
      <alignment horizontal="center" vertical="top"/>
    </xf>
    <xf numFmtId="49" fontId="5" fillId="2" borderId="0" xfId="1" applyNumberFormat="1" applyFont="1" applyFill="1" applyAlignment="1">
      <alignment horizontal="center" vertical="top"/>
    </xf>
    <xf numFmtId="0" fontId="13" fillId="2" borderId="0" xfId="2" applyFont="1" applyFill="1" applyAlignment="1">
      <alignment vertical="top"/>
    </xf>
    <xf numFmtId="0" fontId="11" fillId="2" borderId="0" xfId="1" applyFont="1" applyFill="1" applyAlignment="1">
      <alignment vertical="top" wrapText="1"/>
    </xf>
    <xf numFmtId="1" fontId="5" fillId="2" borderId="0" xfId="4" applyNumberFormat="1" applyFont="1" applyFill="1" applyAlignment="1">
      <alignment vertical="top" wrapText="1"/>
    </xf>
    <xf numFmtId="49" fontId="5" fillId="2" borderId="0" xfId="4" applyNumberFormat="1" applyFont="1" applyFill="1" applyAlignment="1">
      <alignment horizontal="center" vertical="top"/>
    </xf>
    <xf numFmtId="1" fontId="11" fillId="2" borderId="0" xfId="4" applyNumberFormat="1" applyFont="1" applyFill="1" applyAlignment="1">
      <alignment vertical="top" wrapText="1"/>
    </xf>
    <xf numFmtId="1" fontId="5" fillId="2" borderId="0" xfId="4" applyNumberFormat="1" applyFont="1" applyFill="1" applyAlignment="1">
      <alignment horizontal="left" vertical="top" wrapText="1"/>
    </xf>
    <xf numFmtId="164" fontId="5" fillId="0" borderId="0" xfId="0" applyNumberFormat="1" applyFont="1" applyAlignment="1">
      <alignment horizontal="left" vertical="top"/>
    </xf>
    <xf numFmtId="164" fontId="7" fillId="0" borderId="0" xfId="1" applyNumberFormat="1" applyFont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64" fontId="11" fillId="0" borderId="0" xfId="1" applyNumberFormat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1022"/>
  <sheetViews>
    <sheetView tabSelected="1" zoomScale="70" zoomScaleNormal="70" zoomScaleSheetLayoutView="74" workbookViewId="0">
      <selection activeCell="N14" sqref="N14"/>
    </sheetView>
  </sheetViews>
  <sheetFormatPr defaultRowHeight="15.75" outlineLevelRow="3" x14ac:dyDescent="0.25"/>
  <cols>
    <col min="1" max="1" width="49.42578125" style="38" customWidth="1"/>
    <col min="2" max="2" width="8.7109375" style="1" customWidth="1"/>
    <col min="3" max="3" width="16.85546875" style="1" customWidth="1"/>
    <col min="4" max="4" width="7.140625" style="2" customWidth="1"/>
    <col min="5" max="5" width="15.7109375" style="2" customWidth="1"/>
    <col min="6" max="6" width="15.140625" style="2" customWidth="1"/>
    <col min="7" max="7" width="15.85546875" style="1" customWidth="1"/>
    <col min="8" max="16384" width="9.140625" style="3"/>
  </cols>
  <sheetData>
    <row r="1" spans="1:7" ht="51.75" customHeight="1" x14ac:dyDescent="0.25">
      <c r="F1" s="94" t="s">
        <v>906</v>
      </c>
      <c r="G1" s="94"/>
    </row>
    <row r="2" spans="1:7" ht="18" customHeight="1" x14ac:dyDescent="0.25">
      <c r="E2" s="84"/>
      <c r="F2" s="84" t="s">
        <v>508</v>
      </c>
    </row>
    <row r="3" spans="1:7" ht="18" customHeight="1" x14ac:dyDescent="0.25">
      <c r="E3" s="84"/>
      <c r="F3" s="84" t="s">
        <v>907</v>
      </c>
    </row>
    <row r="4" spans="1:7" ht="16.5" customHeight="1" x14ac:dyDescent="0.25">
      <c r="E4" s="84"/>
      <c r="F4" s="84"/>
    </row>
    <row r="5" spans="1:7" ht="48.75" customHeight="1" x14ac:dyDescent="0.25">
      <c r="A5" s="101" t="s">
        <v>287</v>
      </c>
      <c r="B5" s="101"/>
      <c r="C5" s="101"/>
      <c r="D5" s="101"/>
      <c r="E5" s="101"/>
      <c r="F5" s="101"/>
      <c r="G5" s="101"/>
    </row>
    <row r="6" spans="1:7" x14ac:dyDescent="0.25">
      <c r="A6" s="39"/>
      <c r="B6" s="4"/>
      <c r="C6" s="4"/>
      <c r="D6" s="4"/>
      <c r="E6" s="85"/>
      <c r="F6" s="4"/>
    </row>
    <row r="7" spans="1:7" x14ac:dyDescent="0.25">
      <c r="A7" s="40"/>
      <c r="B7" s="5"/>
      <c r="C7" s="5"/>
      <c r="G7" s="2" t="s">
        <v>0</v>
      </c>
    </row>
    <row r="8" spans="1:7" ht="16.5" customHeight="1" x14ac:dyDescent="0.25">
      <c r="A8" s="95" t="s">
        <v>1</v>
      </c>
      <c r="B8" s="96" t="s">
        <v>2</v>
      </c>
      <c r="C8" s="99" t="s">
        <v>3</v>
      </c>
      <c r="D8" s="99" t="s">
        <v>4</v>
      </c>
      <c r="E8" s="86" t="s">
        <v>138</v>
      </c>
      <c r="F8" s="97" t="s">
        <v>77</v>
      </c>
      <c r="G8" s="98"/>
    </row>
    <row r="9" spans="1:7" x14ac:dyDescent="0.25">
      <c r="A9" s="95"/>
      <c r="B9" s="96"/>
      <c r="C9" s="100"/>
      <c r="D9" s="100"/>
      <c r="E9" s="87" t="s">
        <v>625</v>
      </c>
      <c r="F9" s="88" t="s">
        <v>86</v>
      </c>
      <c r="G9" s="88" t="s">
        <v>141</v>
      </c>
    </row>
    <row r="10" spans="1:7" x14ac:dyDescent="0.25">
      <c r="A10" s="41" t="s">
        <v>5</v>
      </c>
      <c r="B10" s="6" t="s">
        <v>6</v>
      </c>
      <c r="C10" s="6"/>
      <c r="D10" s="7"/>
      <c r="E10" s="8">
        <f>E11+E15+E28+E46+E52+E58+E68+E62</f>
        <v>1223429.6000000001</v>
      </c>
      <c r="F10" s="8">
        <f>F11+F15+F28+F46+F52+F58+F68+F62</f>
        <v>1037785.3</v>
      </c>
      <c r="G10" s="8">
        <f>G11+G15+G28+G46+G52+G58+G68+G62</f>
        <v>1017509.3</v>
      </c>
    </row>
    <row r="11" spans="1:7" ht="47.25" outlineLevel="1" x14ac:dyDescent="0.25">
      <c r="A11" s="42" t="s">
        <v>27</v>
      </c>
      <c r="B11" s="9" t="s">
        <v>28</v>
      </c>
      <c r="C11" s="9"/>
      <c r="D11" s="5"/>
      <c r="E11" s="10">
        <f>E12</f>
        <v>4059</v>
      </c>
      <c r="F11" s="10">
        <f t="shared" ref="F11:G13" si="0">F12</f>
        <v>4001.6</v>
      </c>
      <c r="G11" s="10">
        <f t="shared" si="0"/>
        <v>4001.6</v>
      </c>
    </row>
    <row r="12" spans="1:7" outlineLevel="2" x14ac:dyDescent="0.25">
      <c r="A12" s="42" t="s">
        <v>9</v>
      </c>
      <c r="B12" s="9" t="s">
        <v>28</v>
      </c>
      <c r="C12" s="9" t="s">
        <v>10</v>
      </c>
      <c r="D12" s="5"/>
      <c r="E12" s="10">
        <f>E13</f>
        <v>4059</v>
      </c>
      <c r="F12" s="10">
        <f t="shared" si="0"/>
        <v>4001.6</v>
      </c>
      <c r="G12" s="10">
        <f t="shared" si="0"/>
        <v>4001.6</v>
      </c>
    </row>
    <row r="13" spans="1:7" outlineLevel="2" x14ac:dyDescent="0.25">
      <c r="A13" s="42" t="s">
        <v>29</v>
      </c>
      <c r="B13" s="9" t="s">
        <v>28</v>
      </c>
      <c r="C13" s="9" t="s">
        <v>30</v>
      </c>
      <c r="D13" s="5"/>
      <c r="E13" s="10">
        <f>E14</f>
        <v>4059</v>
      </c>
      <c r="F13" s="10">
        <f t="shared" si="0"/>
        <v>4001.6</v>
      </c>
      <c r="G13" s="10">
        <f t="shared" si="0"/>
        <v>4001.6</v>
      </c>
    </row>
    <row r="14" spans="1:7" ht="94.5" outlineLevel="2" x14ac:dyDescent="0.25">
      <c r="A14" s="42" t="s">
        <v>13</v>
      </c>
      <c r="B14" s="9" t="s">
        <v>28</v>
      </c>
      <c r="C14" s="9" t="s">
        <v>30</v>
      </c>
      <c r="D14" s="5">
        <v>100</v>
      </c>
      <c r="E14" s="10">
        <v>4059</v>
      </c>
      <c r="F14" s="10">
        <v>4001.6</v>
      </c>
      <c r="G14" s="10">
        <v>4001.6</v>
      </c>
    </row>
    <row r="15" spans="1:7" ht="63" outlineLevel="1" x14ac:dyDescent="0.25">
      <c r="A15" s="11" t="s">
        <v>7</v>
      </c>
      <c r="B15" s="9" t="s">
        <v>8</v>
      </c>
      <c r="C15" s="9"/>
      <c r="D15" s="5"/>
      <c r="E15" s="10">
        <f>E16</f>
        <v>42585.1</v>
      </c>
      <c r="F15" s="2">
        <f>F16</f>
        <v>53167.399999999994</v>
      </c>
      <c r="G15" s="89">
        <f>G16</f>
        <v>53167.399999999994</v>
      </c>
    </row>
    <row r="16" spans="1:7" outlineLevel="2" x14ac:dyDescent="0.25">
      <c r="A16" s="11" t="s">
        <v>9</v>
      </c>
      <c r="B16" s="9" t="s">
        <v>8</v>
      </c>
      <c r="C16" s="9" t="s">
        <v>10</v>
      </c>
      <c r="D16" s="5"/>
      <c r="E16" s="10">
        <f>E17+E19+E21+E23+E26</f>
        <v>42585.1</v>
      </c>
      <c r="F16" s="10">
        <f>F17+F19+F21+F23+F26</f>
        <v>53167.399999999994</v>
      </c>
      <c r="G16" s="89">
        <f>G17+G19+G21+G23+G26</f>
        <v>53167.399999999994</v>
      </c>
    </row>
    <row r="17" spans="1:7" ht="31.5" outlineLevel="2" x14ac:dyDescent="0.25">
      <c r="A17" s="11" t="s">
        <v>11</v>
      </c>
      <c r="B17" s="9" t="s">
        <v>8</v>
      </c>
      <c r="C17" s="9" t="s">
        <v>12</v>
      </c>
      <c r="D17" s="5"/>
      <c r="E17" s="10">
        <f>E18</f>
        <v>4059</v>
      </c>
      <c r="F17" s="2">
        <f>F18</f>
        <v>4001.6</v>
      </c>
      <c r="G17" s="89">
        <f>G18</f>
        <v>4001.6</v>
      </c>
    </row>
    <row r="18" spans="1:7" ht="94.5" outlineLevel="2" x14ac:dyDescent="0.25">
      <c r="A18" s="11" t="s">
        <v>13</v>
      </c>
      <c r="B18" s="9" t="s">
        <v>8</v>
      </c>
      <c r="C18" s="9" t="s">
        <v>12</v>
      </c>
      <c r="D18" s="5">
        <v>100</v>
      </c>
      <c r="E18" s="10">
        <v>4059</v>
      </c>
      <c r="F18" s="10">
        <v>4001.6</v>
      </c>
      <c r="G18" s="89">
        <v>4001.6</v>
      </c>
    </row>
    <row r="19" spans="1:7" ht="31.5" outlineLevel="2" x14ac:dyDescent="0.25">
      <c r="A19" s="11" t="s">
        <v>14</v>
      </c>
      <c r="B19" s="9" t="s">
        <v>8</v>
      </c>
      <c r="C19" s="9" t="s">
        <v>15</v>
      </c>
      <c r="D19" s="5"/>
      <c r="E19" s="10">
        <f>E20</f>
        <v>2635.2000000000003</v>
      </c>
      <c r="F19" s="2">
        <f>F20</f>
        <v>3265.3</v>
      </c>
      <c r="G19" s="89">
        <f>G20</f>
        <v>3265.3</v>
      </c>
    </row>
    <row r="20" spans="1:7" ht="94.5" outlineLevel="2" x14ac:dyDescent="0.25">
      <c r="A20" s="11" t="s">
        <v>13</v>
      </c>
      <c r="B20" s="9" t="s">
        <v>8</v>
      </c>
      <c r="C20" s="9" t="s">
        <v>15</v>
      </c>
      <c r="D20" s="5">
        <v>100</v>
      </c>
      <c r="E20" s="10">
        <v>2635.2000000000003</v>
      </c>
      <c r="F20" s="10">
        <v>3265.3</v>
      </c>
      <c r="G20" s="89">
        <v>3265.3</v>
      </c>
    </row>
    <row r="21" spans="1:7" ht="31.5" outlineLevel="2" x14ac:dyDescent="0.25">
      <c r="A21" s="11" t="s">
        <v>16</v>
      </c>
      <c r="B21" s="9" t="s">
        <v>8</v>
      </c>
      <c r="C21" s="9" t="s">
        <v>17</v>
      </c>
      <c r="D21" s="5"/>
      <c r="E21" s="10">
        <f>E22</f>
        <v>2863.2999999999997</v>
      </c>
      <c r="F21" s="2">
        <f>F22</f>
        <v>3035.7</v>
      </c>
      <c r="G21" s="89">
        <f>G22</f>
        <v>3035.7</v>
      </c>
    </row>
    <row r="22" spans="1:7" ht="94.5" outlineLevel="2" x14ac:dyDescent="0.25">
      <c r="A22" s="11" t="s">
        <v>13</v>
      </c>
      <c r="B22" s="9" t="s">
        <v>8</v>
      </c>
      <c r="C22" s="9" t="s">
        <v>17</v>
      </c>
      <c r="D22" s="5">
        <v>100</v>
      </c>
      <c r="E22" s="10">
        <v>2863.2999999999997</v>
      </c>
      <c r="F22" s="10">
        <v>3035.7</v>
      </c>
      <c r="G22" s="89">
        <v>3035.7</v>
      </c>
    </row>
    <row r="23" spans="1:7" ht="31.5" outlineLevel="2" x14ac:dyDescent="0.25">
      <c r="A23" s="40" t="s">
        <v>18</v>
      </c>
      <c r="B23" s="9" t="s">
        <v>8</v>
      </c>
      <c r="C23" s="9" t="s">
        <v>19</v>
      </c>
      <c r="D23" s="5"/>
      <c r="E23" s="10">
        <f>E24+E25</f>
        <v>29980.7</v>
      </c>
      <c r="F23" s="2">
        <f>F24+F25</f>
        <v>28186</v>
      </c>
      <c r="G23" s="89">
        <f>G24+G25</f>
        <v>28186</v>
      </c>
    </row>
    <row r="24" spans="1:7" ht="94.5" outlineLevel="2" x14ac:dyDescent="0.25">
      <c r="A24" s="11" t="s">
        <v>13</v>
      </c>
      <c r="B24" s="9" t="s">
        <v>8</v>
      </c>
      <c r="C24" s="9" t="s">
        <v>19</v>
      </c>
      <c r="D24" s="5">
        <v>100</v>
      </c>
      <c r="E24" s="10">
        <f>27151.2+996.6</f>
        <v>28147.8</v>
      </c>
      <c r="F24" s="10">
        <v>26580.2</v>
      </c>
      <c r="G24" s="89">
        <v>26580.2</v>
      </c>
    </row>
    <row r="25" spans="1:7" ht="31.5" outlineLevel="2" x14ac:dyDescent="0.25">
      <c r="A25" s="11" t="s">
        <v>76</v>
      </c>
      <c r="B25" s="9" t="s">
        <v>8</v>
      </c>
      <c r="C25" s="9" t="s">
        <v>19</v>
      </c>
      <c r="D25" s="5">
        <v>200</v>
      </c>
      <c r="E25" s="10">
        <v>1832.9</v>
      </c>
      <c r="F25" s="2">
        <v>1605.8</v>
      </c>
      <c r="G25" s="89">
        <v>1605.8</v>
      </c>
    </row>
    <row r="26" spans="1:7" ht="31.5" outlineLevel="2" x14ac:dyDescent="0.25">
      <c r="A26" s="11" t="s">
        <v>21</v>
      </c>
      <c r="B26" s="9" t="s">
        <v>8</v>
      </c>
      <c r="C26" s="9" t="s">
        <v>22</v>
      </c>
      <c r="D26" s="5"/>
      <c r="E26" s="10">
        <f>E27</f>
        <v>3046.9</v>
      </c>
      <c r="F26" s="10">
        <f>F27</f>
        <v>14678.8</v>
      </c>
      <c r="G26" s="89">
        <f>G27</f>
        <v>14678.8</v>
      </c>
    </row>
    <row r="27" spans="1:7" ht="94.5" outlineLevel="2" x14ac:dyDescent="0.25">
      <c r="A27" s="11" t="s">
        <v>13</v>
      </c>
      <c r="B27" s="9" t="s">
        <v>8</v>
      </c>
      <c r="C27" s="9" t="s">
        <v>22</v>
      </c>
      <c r="D27" s="5">
        <v>100</v>
      </c>
      <c r="E27" s="10">
        <f>11443.5-400-7000-996.6</f>
        <v>3046.9</v>
      </c>
      <c r="F27" s="2">
        <v>14678.8</v>
      </c>
      <c r="G27" s="89">
        <v>14678.8</v>
      </c>
    </row>
    <row r="28" spans="1:7" ht="63" outlineLevel="1" x14ac:dyDescent="0.25">
      <c r="A28" s="42" t="s">
        <v>621</v>
      </c>
      <c r="B28" s="9" t="s">
        <v>31</v>
      </c>
      <c r="C28" s="9"/>
      <c r="D28" s="5"/>
      <c r="E28" s="10">
        <f t="shared" ref="E28:G28" si="1">E29</f>
        <v>484563.10000000003</v>
      </c>
      <c r="F28" s="10">
        <f t="shared" si="1"/>
        <v>439011.30000000005</v>
      </c>
      <c r="G28" s="10">
        <f t="shared" si="1"/>
        <v>394909.4</v>
      </c>
    </row>
    <row r="29" spans="1:7" outlineLevel="2" x14ac:dyDescent="0.25">
      <c r="A29" s="42" t="s">
        <v>9</v>
      </c>
      <c r="B29" s="9" t="s">
        <v>31</v>
      </c>
      <c r="C29" s="9" t="s">
        <v>10</v>
      </c>
      <c r="D29" s="5"/>
      <c r="E29" s="10">
        <f>E30+E35</f>
        <v>484563.10000000003</v>
      </c>
      <c r="F29" s="2">
        <f t="shared" ref="F29:G29" si="2">F30+F35</f>
        <v>439011.30000000005</v>
      </c>
      <c r="G29" s="10">
        <f t="shared" si="2"/>
        <v>394909.4</v>
      </c>
    </row>
    <row r="30" spans="1:7" ht="53.25" customHeight="1" outlineLevel="2" x14ac:dyDescent="0.25">
      <c r="A30" s="43" t="s">
        <v>158</v>
      </c>
      <c r="B30" s="9" t="s">
        <v>31</v>
      </c>
      <c r="C30" s="9" t="s">
        <v>32</v>
      </c>
      <c r="D30" s="5"/>
      <c r="E30" s="10">
        <f>E31+E32+E33+E34</f>
        <v>468404.10000000003</v>
      </c>
      <c r="F30" s="10">
        <f t="shared" ref="F30:G30" si="3">F31+F32+F33+F34</f>
        <v>421493.80000000005</v>
      </c>
      <c r="G30" s="10">
        <f t="shared" si="3"/>
        <v>377467.80000000005</v>
      </c>
    </row>
    <row r="31" spans="1:7" ht="94.5" outlineLevel="2" x14ac:dyDescent="0.25">
      <c r="A31" s="42" t="s">
        <v>13</v>
      </c>
      <c r="B31" s="9" t="s">
        <v>31</v>
      </c>
      <c r="C31" s="9" t="s">
        <v>32</v>
      </c>
      <c r="D31" s="5">
        <v>100</v>
      </c>
      <c r="E31" s="10">
        <f>392704.2+420+1409.7-0.1</f>
        <v>394533.80000000005</v>
      </c>
      <c r="F31" s="2">
        <v>354667</v>
      </c>
      <c r="G31" s="10">
        <v>354667.9</v>
      </c>
    </row>
    <row r="32" spans="1:7" ht="31.5" outlineLevel="2" x14ac:dyDescent="0.25">
      <c r="A32" s="42" t="s">
        <v>76</v>
      </c>
      <c r="B32" s="9" t="s">
        <v>31</v>
      </c>
      <c r="C32" s="9" t="s">
        <v>32</v>
      </c>
      <c r="D32" s="5">
        <v>200</v>
      </c>
      <c r="E32" s="10">
        <f>66089+148-92-480</f>
        <v>65665</v>
      </c>
      <c r="F32" s="10">
        <v>63153.4</v>
      </c>
      <c r="G32" s="10">
        <v>19126.5</v>
      </c>
    </row>
    <row r="33" spans="1:7" ht="31.5" outlineLevel="2" x14ac:dyDescent="0.25">
      <c r="A33" s="42" t="s">
        <v>20</v>
      </c>
      <c r="B33" s="9" t="s">
        <v>31</v>
      </c>
      <c r="C33" s="9" t="s">
        <v>32</v>
      </c>
      <c r="D33" s="5">
        <v>300</v>
      </c>
      <c r="E33" s="10">
        <f>2652.2+488.9+140.5+82.8+1370.4</f>
        <v>4734.8</v>
      </c>
      <c r="F33" s="2">
        <v>1000</v>
      </c>
      <c r="G33" s="10">
        <v>1000</v>
      </c>
    </row>
    <row r="34" spans="1:7" outlineLevel="2" x14ac:dyDescent="0.25">
      <c r="A34" s="43" t="s">
        <v>33</v>
      </c>
      <c r="B34" s="9" t="s">
        <v>31</v>
      </c>
      <c r="C34" s="9" t="s">
        <v>32</v>
      </c>
      <c r="D34" s="5">
        <v>800</v>
      </c>
      <c r="E34" s="10">
        <f>3470.5</f>
        <v>3470.5</v>
      </c>
      <c r="F34" s="10">
        <v>2673.4</v>
      </c>
      <c r="G34" s="10">
        <v>2673.4</v>
      </c>
    </row>
    <row r="35" spans="1:7" ht="31.5" outlineLevel="2" x14ac:dyDescent="0.25">
      <c r="A35" s="43" t="s">
        <v>34</v>
      </c>
      <c r="B35" s="12" t="s">
        <v>31</v>
      </c>
      <c r="C35" s="12" t="s">
        <v>35</v>
      </c>
      <c r="D35" s="9"/>
      <c r="E35" s="10">
        <f>E36+E41+E43+E38</f>
        <v>16159</v>
      </c>
      <c r="F35" s="10">
        <f t="shared" ref="F35:G35" si="4">F36+F41+F43+F38</f>
        <v>17517.5</v>
      </c>
      <c r="G35" s="10">
        <f t="shared" si="4"/>
        <v>17441.599999999999</v>
      </c>
    </row>
    <row r="36" spans="1:7" ht="94.5" outlineLevel="2" x14ac:dyDescent="0.25">
      <c r="A36" s="42" t="s">
        <v>79</v>
      </c>
      <c r="B36" s="9" t="s">
        <v>31</v>
      </c>
      <c r="C36" s="13" t="s">
        <v>36</v>
      </c>
      <c r="D36" s="5"/>
      <c r="E36" s="10">
        <f>E37</f>
        <v>6869.7</v>
      </c>
      <c r="F36" s="10">
        <f t="shared" ref="F36:G36" si="5">F37</f>
        <v>6869.7</v>
      </c>
      <c r="G36" s="10">
        <f t="shared" si="5"/>
        <v>6869.7</v>
      </c>
    </row>
    <row r="37" spans="1:7" ht="94.5" outlineLevel="2" x14ac:dyDescent="0.25">
      <c r="A37" s="42" t="s">
        <v>13</v>
      </c>
      <c r="B37" s="9" t="s">
        <v>31</v>
      </c>
      <c r="C37" s="13" t="s">
        <v>36</v>
      </c>
      <c r="D37" s="5">
        <v>100</v>
      </c>
      <c r="E37" s="10">
        <v>6869.7</v>
      </c>
      <c r="F37" s="2">
        <v>6869.7</v>
      </c>
      <c r="G37" s="10">
        <v>6869.7</v>
      </c>
    </row>
    <row r="38" spans="1:7" ht="94.5" outlineLevel="2" x14ac:dyDescent="0.25">
      <c r="A38" s="42" t="s">
        <v>82</v>
      </c>
      <c r="B38" s="9" t="s">
        <v>31</v>
      </c>
      <c r="C38" s="9" t="s">
        <v>78</v>
      </c>
      <c r="D38" s="9"/>
      <c r="E38" s="10">
        <f>E39+E40</f>
        <v>0</v>
      </c>
      <c r="F38" s="10">
        <f t="shared" ref="F38:G38" si="6">F39+F40</f>
        <v>1358.5</v>
      </c>
      <c r="G38" s="10">
        <f t="shared" si="6"/>
        <v>1282.5999999999999</v>
      </c>
    </row>
    <row r="39" spans="1:7" ht="94.5" outlineLevel="2" x14ac:dyDescent="0.25">
      <c r="A39" s="42" t="s">
        <v>13</v>
      </c>
      <c r="B39" s="9" t="s">
        <v>31</v>
      </c>
      <c r="C39" s="9" t="s">
        <v>78</v>
      </c>
      <c r="D39" s="9" t="s">
        <v>38</v>
      </c>
      <c r="E39" s="10">
        <v>0</v>
      </c>
      <c r="F39" s="2">
        <v>1282.5999999999999</v>
      </c>
      <c r="G39" s="10">
        <v>1282.5999999999999</v>
      </c>
    </row>
    <row r="40" spans="1:7" ht="31.5" outlineLevel="2" x14ac:dyDescent="0.25">
      <c r="A40" s="42" t="s">
        <v>76</v>
      </c>
      <c r="B40" s="9" t="s">
        <v>31</v>
      </c>
      <c r="C40" s="9" t="s">
        <v>78</v>
      </c>
      <c r="D40" s="9" t="s">
        <v>39</v>
      </c>
      <c r="E40" s="10">
        <v>0</v>
      </c>
      <c r="F40" s="10">
        <v>75.900000000000006</v>
      </c>
      <c r="G40" s="10">
        <f>75.9-75.9</f>
        <v>0</v>
      </c>
    </row>
    <row r="41" spans="1:7" ht="126" outlineLevel="2" x14ac:dyDescent="0.25">
      <c r="A41" s="42" t="s">
        <v>87</v>
      </c>
      <c r="B41" s="9" t="s">
        <v>31</v>
      </c>
      <c r="C41" s="9" t="s">
        <v>37</v>
      </c>
      <c r="D41" s="9"/>
      <c r="E41" s="10">
        <f>E42</f>
        <v>3813.2</v>
      </c>
      <c r="F41" s="10">
        <f t="shared" ref="F41:G41" si="7">F42</f>
        <v>3813.2</v>
      </c>
      <c r="G41" s="10">
        <f t="shared" si="7"/>
        <v>3813.2</v>
      </c>
    </row>
    <row r="42" spans="1:7" ht="94.5" outlineLevel="2" x14ac:dyDescent="0.25">
      <c r="A42" s="42" t="s">
        <v>13</v>
      </c>
      <c r="B42" s="9" t="s">
        <v>31</v>
      </c>
      <c r="C42" s="9" t="s">
        <v>37</v>
      </c>
      <c r="D42" s="9" t="s">
        <v>38</v>
      </c>
      <c r="E42" s="10">
        <v>3813.2</v>
      </c>
      <c r="F42" s="2">
        <f>3799.1+14.1</f>
        <v>3813.2</v>
      </c>
      <c r="G42" s="10">
        <f>3799.1+14.1</f>
        <v>3813.2</v>
      </c>
    </row>
    <row r="43" spans="1:7" ht="63" outlineLevel="2" x14ac:dyDescent="0.25">
      <c r="A43" s="42" t="s">
        <v>80</v>
      </c>
      <c r="B43" s="9" t="s">
        <v>31</v>
      </c>
      <c r="C43" s="13" t="s">
        <v>40</v>
      </c>
      <c r="D43" s="5"/>
      <c r="E43" s="10">
        <f>E44+E45</f>
        <v>5476.1</v>
      </c>
      <c r="F43" s="2">
        <f t="shared" ref="F43" si="8">F44+F45</f>
        <v>5476.1</v>
      </c>
      <c r="G43" s="10">
        <f>G44+G45</f>
        <v>5476.1</v>
      </c>
    </row>
    <row r="44" spans="1:7" ht="94.5" outlineLevel="2" x14ac:dyDescent="0.25">
      <c r="A44" s="42" t="s">
        <v>13</v>
      </c>
      <c r="B44" s="9" t="s">
        <v>31</v>
      </c>
      <c r="C44" s="13" t="s">
        <v>40</v>
      </c>
      <c r="D44" s="5">
        <v>100</v>
      </c>
      <c r="E44" s="10">
        <v>5443.3</v>
      </c>
      <c r="F44" s="10">
        <f>5192.8+250.5</f>
        <v>5443.3</v>
      </c>
      <c r="G44" s="10">
        <f>5192.8+250.5</f>
        <v>5443.3</v>
      </c>
    </row>
    <row r="45" spans="1:7" ht="31.5" outlineLevel="2" x14ac:dyDescent="0.25">
      <c r="A45" s="42" t="s">
        <v>76</v>
      </c>
      <c r="B45" s="9" t="s">
        <v>31</v>
      </c>
      <c r="C45" s="13" t="s">
        <v>40</v>
      </c>
      <c r="D45" s="5">
        <v>200</v>
      </c>
      <c r="E45" s="10">
        <v>32.800000000000011</v>
      </c>
      <c r="F45" s="2">
        <f>209-176.2</f>
        <v>32.800000000000011</v>
      </c>
      <c r="G45" s="10">
        <f>209-176.2</f>
        <v>32.800000000000011</v>
      </c>
    </row>
    <row r="46" spans="1:7" outlineLevel="1" x14ac:dyDescent="0.25">
      <c r="A46" s="44" t="s">
        <v>41</v>
      </c>
      <c r="B46" s="14" t="s">
        <v>42</v>
      </c>
      <c r="C46" s="15"/>
      <c r="D46" s="5"/>
      <c r="E46" s="10">
        <f>E47</f>
        <v>17.7</v>
      </c>
      <c r="F46" s="10">
        <f t="shared" ref="F46:G48" si="9">F47</f>
        <v>372.9</v>
      </c>
      <c r="G46" s="10">
        <f t="shared" si="9"/>
        <v>17.399999999999977</v>
      </c>
    </row>
    <row r="47" spans="1:7" outlineLevel="2" x14ac:dyDescent="0.25">
      <c r="A47" s="42" t="s">
        <v>9</v>
      </c>
      <c r="B47" s="14" t="s">
        <v>42</v>
      </c>
      <c r="C47" s="9" t="s">
        <v>10</v>
      </c>
      <c r="D47" s="5"/>
      <c r="E47" s="10">
        <f>E48</f>
        <v>17.7</v>
      </c>
      <c r="F47" s="2">
        <f t="shared" si="9"/>
        <v>372.9</v>
      </c>
      <c r="G47" s="10">
        <f t="shared" si="9"/>
        <v>17.399999999999977</v>
      </c>
    </row>
    <row r="48" spans="1:7" ht="31.5" outlineLevel="2" x14ac:dyDescent="0.25">
      <c r="A48" s="45" t="s">
        <v>34</v>
      </c>
      <c r="B48" s="14" t="s">
        <v>42</v>
      </c>
      <c r="C48" s="14" t="s">
        <v>35</v>
      </c>
      <c r="D48" s="5"/>
      <c r="E48" s="10">
        <f>E49</f>
        <v>17.7</v>
      </c>
      <c r="F48" s="10">
        <f t="shared" si="9"/>
        <v>372.9</v>
      </c>
      <c r="G48" s="10">
        <f t="shared" si="9"/>
        <v>17.399999999999977</v>
      </c>
    </row>
    <row r="49" spans="1:7" ht="63" outlineLevel="2" x14ac:dyDescent="0.25">
      <c r="A49" s="43" t="s">
        <v>81</v>
      </c>
      <c r="B49" s="14" t="s">
        <v>42</v>
      </c>
      <c r="C49" s="15" t="s">
        <v>43</v>
      </c>
      <c r="D49" s="5"/>
      <c r="E49" s="10">
        <f>E50+E51</f>
        <v>17.7</v>
      </c>
      <c r="F49" s="2">
        <f t="shared" ref="F49:G49" si="10">F50+F51</f>
        <v>372.9</v>
      </c>
      <c r="G49" s="2">
        <f t="shared" si="10"/>
        <v>17.399999999999977</v>
      </c>
    </row>
    <row r="50" spans="1:7" ht="31.5" outlineLevel="2" x14ac:dyDescent="0.25">
      <c r="A50" s="42" t="s">
        <v>76</v>
      </c>
      <c r="B50" s="9" t="s">
        <v>42</v>
      </c>
      <c r="C50" s="9" t="s">
        <v>43</v>
      </c>
      <c r="D50" s="9" t="s">
        <v>39</v>
      </c>
      <c r="E50" s="10">
        <f>6.7+11</f>
        <v>17.7</v>
      </c>
      <c r="F50" s="2">
        <v>0</v>
      </c>
      <c r="G50" s="10">
        <v>0</v>
      </c>
    </row>
    <row r="51" spans="1:7" ht="39" customHeight="1" outlineLevel="2" x14ac:dyDescent="0.25">
      <c r="A51" s="43" t="s">
        <v>44</v>
      </c>
      <c r="B51" s="14" t="s">
        <v>42</v>
      </c>
      <c r="C51" s="15" t="s">
        <v>43</v>
      </c>
      <c r="D51" s="5">
        <v>600</v>
      </c>
      <c r="E51" s="10">
        <f>11-11</f>
        <v>0</v>
      </c>
      <c r="F51" s="10">
        <f>610-237.1</f>
        <v>372.9</v>
      </c>
      <c r="G51" s="10">
        <f>610-592.6</f>
        <v>17.399999999999977</v>
      </c>
    </row>
    <row r="52" spans="1:7" ht="47.25" outlineLevel="1" x14ac:dyDescent="0.25">
      <c r="A52" s="11" t="s">
        <v>61</v>
      </c>
      <c r="B52" s="9" t="s">
        <v>62</v>
      </c>
      <c r="C52" s="9"/>
      <c r="D52" s="5"/>
      <c r="E52" s="10">
        <f t="shared" ref="E52:G53" si="11">E53</f>
        <v>101366.8</v>
      </c>
      <c r="F52" s="2">
        <f t="shared" si="11"/>
        <v>94834</v>
      </c>
      <c r="G52" s="10">
        <f t="shared" si="11"/>
        <v>95202.3</v>
      </c>
    </row>
    <row r="53" spans="1:7" outlineLevel="2" x14ac:dyDescent="0.25">
      <c r="A53" s="11" t="s">
        <v>9</v>
      </c>
      <c r="B53" s="9" t="s">
        <v>62</v>
      </c>
      <c r="C53" s="9" t="s">
        <v>10</v>
      </c>
      <c r="D53" s="5"/>
      <c r="E53" s="10">
        <f t="shared" si="11"/>
        <v>101366.8</v>
      </c>
      <c r="F53" s="10">
        <f t="shared" si="11"/>
        <v>94834</v>
      </c>
      <c r="G53" s="10">
        <f t="shared" si="11"/>
        <v>95202.3</v>
      </c>
    </row>
    <row r="54" spans="1:7" ht="47.25" outlineLevel="2" x14ac:dyDescent="0.25">
      <c r="A54" s="43" t="s">
        <v>158</v>
      </c>
      <c r="B54" s="9" t="s">
        <v>62</v>
      </c>
      <c r="C54" s="9" t="s">
        <v>32</v>
      </c>
      <c r="D54" s="5"/>
      <c r="E54" s="10">
        <f>E55+E56+E57</f>
        <v>101366.8</v>
      </c>
      <c r="F54" s="2">
        <f>F55+F56+F57</f>
        <v>94834</v>
      </c>
      <c r="G54" s="10">
        <f>G55+G56+G57</f>
        <v>95202.3</v>
      </c>
    </row>
    <row r="55" spans="1:7" ht="94.5" outlineLevel="2" x14ac:dyDescent="0.25">
      <c r="A55" s="11" t="s">
        <v>13</v>
      </c>
      <c r="B55" s="9" t="s">
        <v>62</v>
      </c>
      <c r="C55" s="9" t="s">
        <v>32</v>
      </c>
      <c r="D55" s="5">
        <v>100</v>
      </c>
      <c r="E55" s="10">
        <f>95528.3+52.1+1.4+19.5+0.1</f>
        <v>95601.400000000009</v>
      </c>
      <c r="F55" s="10">
        <v>88962.3</v>
      </c>
      <c r="G55" s="10">
        <v>88962.3</v>
      </c>
    </row>
    <row r="56" spans="1:7" ht="31.5" outlineLevel="2" x14ac:dyDescent="0.25">
      <c r="A56" s="11" t="s">
        <v>76</v>
      </c>
      <c r="B56" s="9" t="s">
        <v>62</v>
      </c>
      <c r="C56" s="9" t="s">
        <v>32</v>
      </c>
      <c r="D56" s="5">
        <v>200</v>
      </c>
      <c r="E56" s="10">
        <f>5596.6+46-1.4</f>
        <v>5641.2000000000007</v>
      </c>
      <c r="F56" s="2">
        <v>5767.5</v>
      </c>
      <c r="G56" s="10">
        <v>6135.8</v>
      </c>
    </row>
    <row r="57" spans="1:7" outlineLevel="2" x14ac:dyDescent="0.25">
      <c r="A57" s="40" t="s">
        <v>33</v>
      </c>
      <c r="B57" s="9" t="s">
        <v>62</v>
      </c>
      <c r="C57" s="9" t="s">
        <v>32</v>
      </c>
      <c r="D57" s="5">
        <v>800</v>
      </c>
      <c r="E57" s="10">
        <v>124.2</v>
      </c>
      <c r="F57" s="2">
        <v>104.2</v>
      </c>
      <c r="G57" s="10">
        <v>104.2</v>
      </c>
    </row>
    <row r="58" spans="1:7" outlineLevel="1" x14ac:dyDescent="0.25">
      <c r="A58" s="11" t="s">
        <v>63</v>
      </c>
      <c r="B58" s="9" t="s">
        <v>64</v>
      </c>
      <c r="C58" s="9"/>
      <c r="D58" s="5"/>
      <c r="E58" s="10">
        <f>E59</f>
        <v>52487.299999999981</v>
      </c>
      <c r="F58" s="2">
        <f t="shared" ref="F58:G60" si="12">F59</f>
        <v>82102.2</v>
      </c>
      <c r="G58" s="10">
        <f t="shared" si="12"/>
        <v>82102.2</v>
      </c>
    </row>
    <row r="59" spans="1:7" outlineLevel="2" x14ac:dyDescent="0.25">
      <c r="A59" s="11" t="s">
        <v>9</v>
      </c>
      <c r="B59" s="9" t="s">
        <v>64</v>
      </c>
      <c r="C59" s="9" t="s">
        <v>10</v>
      </c>
      <c r="D59" s="5"/>
      <c r="E59" s="10">
        <f>E60</f>
        <v>52487.299999999981</v>
      </c>
      <c r="F59" s="10">
        <f t="shared" si="12"/>
        <v>82102.2</v>
      </c>
      <c r="G59" s="10">
        <f t="shared" si="12"/>
        <v>82102.2</v>
      </c>
    </row>
    <row r="60" spans="1:7" ht="31.5" outlineLevel="2" x14ac:dyDescent="0.25">
      <c r="A60" s="11" t="s">
        <v>65</v>
      </c>
      <c r="B60" s="9" t="s">
        <v>64</v>
      </c>
      <c r="C60" s="9" t="s">
        <v>66</v>
      </c>
      <c r="D60" s="5"/>
      <c r="E60" s="10">
        <f>E61</f>
        <v>52487.299999999981</v>
      </c>
      <c r="F60" s="2">
        <f t="shared" si="12"/>
        <v>82102.2</v>
      </c>
      <c r="G60" s="10">
        <f t="shared" si="12"/>
        <v>82102.2</v>
      </c>
    </row>
    <row r="61" spans="1:7" outlineLevel="2" x14ac:dyDescent="0.25">
      <c r="A61" s="40" t="s">
        <v>33</v>
      </c>
      <c r="B61" s="9" t="s">
        <v>64</v>
      </c>
      <c r="C61" s="9" t="s">
        <v>66</v>
      </c>
      <c r="D61" s="5">
        <v>800</v>
      </c>
      <c r="E61" s="10">
        <f>86211.9-6208.3-600-1041-450-4922.6-6823.3-3075.2-4800.3-936.9-1332.4-37239.2+33483.5+220.5+0.6</f>
        <v>52487.299999999981</v>
      </c>
      <c r="F61" s="10">
        <v>82102.2</v>
      </c>
      <c r="G61" s="10">
        <v>82102.2</v>
      </c>
    </row>
    <row r="62" spans="1:7" ht="31.5" outlineLevel="1" x14ac:dyDescent="0.25">
      <c r="A62" s="11" t="s">
        <v>513</v>
      </c>
      <c r="B62" s="9" t="s">
        <v>515</v>
      </c>
      <c r="C62" s="9"/>
      <c r="D62" s="9"/>
      <c r="E62" s="10">
        <f t="shared" ref="E62:G66" si="13">E63</f>
        <v>665</v>
      </c>
      <c r="F62" s="2">
        <f t="shared" si="13"/>
        <v>0</v>
      </c>
      <c r="G62" s="10">
        <f t="shared" si="13"/>
        <v>0</v>
      </c>
    </row>
    <row r="63" spans="1:7" ht="47.25" outlineLevel="2" x14ac:dyDescent="0.25">
      <c r="A63" s="11" t="s">
        <v>368</v>
      </c>
      <c r="B63" s="9" t="s">
        <v>515</v>
      </c>
      <c r="C63" s="9" t="s">
        <v>369</v>
      </c>
      <c r="D63" s="9"/>
      <c r="E63" s="10">
        <f>E64</f>
        <v>665</v>
      </c>
      <c r="F63" s="10">
        <f t="shared" si="13"/>
        <v>0</v>
      </c>
      <c r="G63" s="10">
        <f t="shared" si="13"/>
        <v>0</v>
      </c>
    </row>
    <row r="64" spans="1:7" outlineLevel="2" x14ac:dyDescent="0.25">
      <c r="A64" s="11" t="s">
        <v>144</v>
      </c>
      <c r="B64" s="9" t="s">
        <v>515</v>
      </c>
      <c r="C64" s="9" t="s">
        <v>404</v>
      </c>
      <c r="D64" s="9"/>
      <c r="E64" s="10">
        <f t="shared" ref="E64:E66" si="14">E65</f>
        <v>665</v>
      </c>
      <c r="F64" s="2">
        <f t="shared" si="13"/>
        <v>0</v>
      </c>
      <c r="G64" s="10">
        <f t="shared" si="13"/>
        <v>0</v>
      </c>
    </row>
    <row r="65" spans="1:7" ht="47.25" outlineLevel="2" x14ac:dyDescent="0.25">
      <c r="A65" s="11" t="s">
        <v>405</v>
      </c>
      <c r="B65" s="9" t="s">
        <v>515</v>
      </c>
      <c r="C65" s="9" t="s">
        <v>406</v>
      </c>
      <c r="D65" s="9"/>
      <c r="E65" s="10">
        <f t="shared" si="14"/>
        <v>665</v>
      </c>
      <c r="F65" s="10">
        <f t="shared" si="13"/>
        <v>0</v>
      </c>
      <c r="G65" s="10">
        <f t="shared" si="13"/>
        <v>0</v>
      </c>
    </row>
    <row r="66" spans="1:7" outlineLevel="2" x14ac:dyDescent="0.25">
      <c r="A66" s="11" t="s">
        <v>514</v>
      </c>
      <c r="B66" s="9" t="s">
        <v>515</v>
      </c>
      <c r="C66" s="9" t="s">
        <v>516</v>
      </c>
      <c r="D66" s="9"/>
      <c r="E66" s="10">
        <f t="shared" si="14"/>
        <v>665</v>
      </c>
      <c r="F66" s="2">
        <f t="shared" si="13"/>
        <v>0</v>
      </c>
      <c r="G66" s="10">
        <f t="shared" si="13"/>
        <v>0</v>
      </c>
    </row>
    <row r="67" spans="1:7" ht="31.5" outlineLevel="2" x14ac:dyDescent="0.25">
      <c r="A67" s="11" t="s">
        <v>76</v>
      </c>
      <c r="B67" s="9" t="s">
        <v>515</v>
      </c>
      <c r="C67" s="9" t="s">
        <v>516</v>
      </c>
      <c r="D67" s="9" t="s">
        <v>39</v>
      </c>
      <c r="E67" s="10">
        <v>665</v>
      </c>
      <c r="F67" s="10"/>
      <c r="G67" s="10"/>
    </row>
    <row r="68" spans="1:7" outlineLevel="1" x14ac:dyDescent="0.25">
      <c r="A68" s="11" t="s">
        <v>23</v>
      </c>
      <c r="B68" s="9" t="s">
        <v>24</v>
      </c>
      <c r="C68" s="9"/>
      <c r="D68" s="5"/>
      <c r="E68" s="10">
        <f>E69+E111+E122</f>
        <v>537685.6</v>
      </c>
      <c r="F68" s="2">
        <f>F69+F111+F122</f>
        <v>364295.89999999997</v>
      </c>
      <c r="G68" s="2">
        <f>G69+G111+G122</f>
        <v>388109</v>
      </c>
    </row>
    <row r="69" spans="1:7" outlineLevel="2" x14ac:dyDescent="0.25">
      <c r="A69" s="11" t="s">
        <v>9</v>
      </c>
      <c r="B69" s="9" t="s">
        <v>24</v>
      </c>
      <c r="C69" s="9" t="s">
        <v>10</v>
      </c>
      <c r="D69" s="5"/>
      <c r="E69" s="10">
        <f>E70+E74+E79+E83+E93+E95+E88+E91+E107+E97+E99+E101+E103+E105+E109+E81+E72</f>
        <v>426486</v>
      </c>
      <c r="F69" s="10">
        <f>F70+F74+F79+F83+F93+F95+F88+F91+F107+F97+F99+F101+F103+F105+F109+F81+F72</f>
        <v>264728.3</v>
      </c>
      <c r="G69" s="2">
        <f>G70+G74+G79+G83+G93+G95+G88+G91+G107+G97+G99+G101+G103+G105+G109+G81+G72</f>
        <v>287032.2</v>
      </c>
    </row>
    <row r="70" spans="1:7" ht="31.5" outlineLevel="2" x14ac:dyDescent="0.25">
      <c r="A70" s="42" t="s">
        <v>84</v>
      </c>
      <c r="B70" s="9" t="s">
        <v>24</v>
      </c>
      <c r="C70" s="9" t="s">
        <v>85</v>
      </c>
      <c r="D70" s="5"/>
      <c r="E70" s="10">
        <f>E71</f>
        <v>0</v>
      </c>
      <c r="F70" s="2">
        <f t="shared" ref="F70:G70" si="15">F71</f>
        <v>10</v>
      </c>
      <c r="G70" s="10">
        <f t="shared" si="15"/>
        <v>10</v>
      </c>
    </row>
    <row r="71" spans="1:7" ht="22.5" customHeight="1" outlineLevel="2" x14ac:dyDescent="0.25">
      <c r="A71" s="42" t="s">
        <v>20</v>
      </c>
      <c r="B71" s="9" t="s">
        <v>24</v>
      </c>
      <c r="C71" s="9" t="s">
        <v>85</v>
      </c>
      <c r="D71" s="5">
        <v>300</v>
      </c>
      <c r="E71" s="10">
        <v>0</v>
      </c>
      <c r="F71" s="10">
        <v>10</v>
      </c>
      <c r="G71" s="10">
        <v>10</v>
      </c>
    </row>
    <row r="72" spans="1:7" ht="22.5" customHeight="1" outlineLevel="2" x14ac:dyDescent="0.25">
      <c r="A72" s="42" t="s">
        <v>843</v>
      </c>
      <c r="B72" s="9" t="s">
        <v>24</v>
      </c>
      <c r="C72" s="9" t="s">
        <v>844</v>
      </c>
      <c r="D72" s="9"/>
      <c r="E72" s="10">
        <f>E73</f>
        <v>2517.3000000000002</v>
      </c>
      <c r="F72" s="10">
        <f>F73</f>
        <v>0</v>
      </c>
      <c r="G72" s="10">
        <f>G73</f>
        <v>0</v>
      </c>
    </row>
    <row r="73" spans="1:7" ht="22.5" customHeight="1" outlineLevel="2" x14ac:dyDescent="0.25">
      <c r="A73" s="11" t="s">
        <v>76</v>
      </c>
      <c r="B73" s="9" t="s">
        <v>24</v>
      </c>
      <c r="C73" s="9" t="s">
        <v>844</v>
      </c>
      <c r="D73" s="9" t="s">
        <v>39</v>
      </c>
      <c r="E73" s="10">
        <v>2517.3000000000002</v>
      </c>
      <c r="F73" s="10">
        <v>0</v>
      </c>
      <c r="G73" s="10">
        <v>0</v>
      </c>
    </row>
    <row r="74" spans="1:7" ht="35.25" customHeight="1" outlineLevel="2" x14ac:dyDescent="0.25">
      <c r="A74" s="43" t="s">
        <v>150</v>
      </c>
      <c r="B74" s="9" t="s">
        <v>24</v>
      </c>
      <c r="C74" s="9" t="s">
        <v>45</v>
      </c>
      <c r="D74" s="5"/>
      <c r="E74" s="10">
        <f>SUM(E75:E78)</f>
        <v>250087.19999999998</v>
      </c>
      <c r="F74" s="2">
        <f t="shared" ref="F74:G74" si="16">SUM(F75:F78)</f>
        <v>230146.9</v>
      </c>
      <c r="G74" s="10">
        <f t="shared" si="16"/>
        <v>238330.3</v>
      </c>
    </row>
    <row r="75" spans="1:7" ht="94.5" outlineLevel="2" x14ac:dyDescent="0.25">
      <c r="A75" s="42" t="s">
        <v>13</v>
      </c>
      <c r="B75" s="9" t="s">
        <v>24</v>
      </c>
      <c r="C75" s="9" t="s">
        <v>45</v>
      </c>
      <c r="D75" s="5">
        <v>100</v>
      </c>
      <c r="E75" s="10">
        <f>177392.3+3002.7+2232.8</f>
        <v>182627.8</v>
      </c>
      <c r="F75" s="10">
        <v>177913.9</v>
      </c>
      <c r="G75" s="10">
        <v>185030.5</v>
      </c>
    </row>
    <row r="76" spans="1:7" ht="31.5" outlineLevel="2" x14ac:dyDescent="0.25">
      <c r="A76" s="42" t="s">
        <v>76</v>
      </c>
      <c r="B76" s="9" t="s">
        <v>24</v>
      </c>
      <c r="C76" s="9" t="s">
        <v>45</v>
      </c>
      <c r="D76" s="5">
        <v>200</v>
      </c>
      <c r="E76" s="10">
        <f>66901.3+811.5-3080.2-0.1</f>
        <v>64632.500000000007</v>
      </c>
      <c r="F76" s="2">
        <v>49416.1</v>
      </c>
      <c r="G76" s="10">
        <v>50482.9</v>
      </c>
    </row>
    <row r="77" spans="1:7" ht="31.5" outlineLevel="2" x14ac:dyDescent="0.25">
      <c r="A77" s="42" t="s">
        <v>20</v>
      </c>
      <c r="B77" s="9" t="s">
        <v>24</v>
      </c>
      <c r="C77" s="9" t="s">
        <v>45</v>
      </c>
      <c r="D77" s="9" t="s">
        <v>551</v>
      </c>
      <c r="E77" s="10">
        <v>10</v>
      </c>
      <c r="F77" s="10">
        <v>0</v>
      </c>
      <c r="G77" s="10">
        <v>0</v>
      </c>
    </row>
    <row r="78" spans="1:7" outlineLevel="2" x14ac:dyDescent="0.25">
      <c r="A78" s="43" t="s">
        <v>33</v>
      </c>
      <c r="B78" s="9" t="s">
        <v>24</v>
      </c>
      <c r="C78" s="9" t="s">
        <v>45</v>
      </c>
      <c r="D78" s="5">
        <v>800</v>
      </c>
      <c r="E78" s="10">
        <v>2816.9</v>
      </c>
      <c r="F78" s="2">
        <v>2816.9</v>
      </c>
      <c r="G78" s="10">
        <v>2816.9</v>
      </c>
    </row>
    <row r="79" spans="1:7" ht="94.5" outlineLevel="2" x14ac:dyDescent="0.25">
      <c r="A79" s="40" t="s">
        <v>142</v>
      </c>
      <c r="B79" s="9" t="s">
        <v>24</v>
      </c>
      <c r="C79" s="9" t="s">
        <v>143</v>
      </c>
      <c r="D79" s="5"/>
      <c r="E79" s="10">
        <f>E80</f>
        <v>0</v>
      </c>
      <c r="F79" s="10">
        <f t="shared" ref="F79:G79" si="17">F80</f>
        <v>15879.5</v>
      </c>
      <c r="G79" s="10">
        <f t="shared" si="17"/>
        <v>30000</v>
      </c>
    </row>
    <row r="80" spans="1:7" outlineLevel="2" x14ac:dyDescent="0.25">
      <c r="A80" s="40" t="s">
        <v>33</v>
      </c>
      <c r="B80" s="9" t="s">
        <v>24</v>
      </c>
      <c r="C80" s="9" t="s">
        <v>143</v>
      </c>
      <c r="D80" s="5">
        <v>800</v>
      </c>
      <c r="E80" s="10">
        <f>5804.5-5804.5</f>
        <v>0</v>
      </c>
      <c r="F80" s="2">
        <v>15879.5</v>
      </c>
      <c r="G80" s="10">
        <v>30000</v>
      </c>
    </row>
    <row r="81" spans="1:7" ht="63" outlineLevel="2" x14ac:dyDescent="0.25">
      <c r="A81" s="11" t="s">
        <v>723</v>
      </c>
      <c r="B81" s="9" t="s">
        <v>24</v>
      </c>
      <c r="C81" s="9" t="s">
        <v>722</v>
      </c>
      <c r="D81" s="5"/>
      <c r="E81" s="10">
        <f>+E82</f>
        <v>719.5</v>
      </c>
      <c r="F81" s="2">
        <f t="shared" ref="F81:G81" si="18">+F82</f>
        <v>0</v>
      </c>
      <c r="G81" s="2">
        <f t="shared" si="18"/>
        <v>0</v>
      </c>
    </row>
    <row r="82" spans="1:7" ht="31.5" outlineLevel="2" x14ac:dyDescent="0.25">
      <c r="A82" s="43" t="s">
        <v>76</v>
      </c>
      <c r="B82" s="9" t="s">
        <v>24</v>
      </c>
      <c r="C82" s="9" t="s">
        <v>722</v>
      </c>
      <c r="D82" s="9">
        <v>200</v>
      </c>
      <c r="E82" s="10">
        <f>1163.8-444.3</f>
        <v>719.5</v>
      </c>
      <c r="F82" s="2">
        <v>0</v>
      </c>
      <c r="G82" s="2">
        <v>0</v>
      </c>
    </row>
    <row r="83" spans="1:7" ht="63" outlineLevel="2" x14ac:dyDescent="0.25">
      <c r="A83" s="42" t="s">
        <v>46</v>
      </c>
      <c r="B83" s="9" t="s">
        <v>24</v>
      </c>
      <c r="C83" s="9" t="s">
        <v>47</v>
      </c>
      <c r="D83" s="5"/>
      <c r="E83" s="10">
        <f>E87+E86+E84+E85</f>
        <v>133058.1</v>
      </c>
      <c r="F83" s="10">
        <f>F87+F86+F84+F85</f>
        <v>13236.1</v>
      </c>
      <c r="G83" s="10">
        <f>G87+G86+G84+G85</f>
        <v>13236.1</v>
      </c>
    </row>
    <row r="84" spans="1:7" ht="31.5" outlineLevel="2" x14ac:dyDescent="0.25">
      <c r="A84" s="11" t="s">
        <v>76</v>
      </c>
      <c r="B84" s="9" t="s">
        <v>24</v>
      </c>
      <c r="C84" s="9" t="s">
        <v>47</v>
      </c>
      <c r="D84" s="5">
        <v>200</v>
      </c>
      <c r="E84" s="10">
        <f>647.1</f>
        <v>647.1</v>
      </c>
      <c r="F84" s="10">
        <v>0</v>
      </c>
      <c r="G84" s="10">
        <v>0</v>
      </c>
    </row>
    <row r="85" spans="1:7" ht="47.25" outlineLevel="2" x14ac:dyDescent="0.25">
      <c r="A85" s="40" t="s">
        <v>308</v>
      </c>
      <c r="B85" s="9" t="s">
        <v>24</v>
      </c>
      <c r="C85" s="9" t="s">
        <v>47</v>
      </c>
      <c r="D85" s="5">
        <v>400</v>
      </c>
      <c r="E85" s="10">
        <f>4756.5</f>
        <v>4756.5</v>
      </c>
      <c r="F85" s="10">
        <v>0</v>
      </c>
      <c r="G85" s="10">
        <v>0</v>
      </c>
    </row>
    <row r="86" spans="1:7" ht="47.25" outlineLevel="2" x14ac:dyDescent="0.25">
      <c r="A86" s="11" t="s">
        <v>94</v>
      </c>
      <c r="B86" s="9" t="s">
        <v>24</v>
      </c>
      <c r="C86" s="9" t="s">
        <v>47</v>
      </c>
      <c r="D86" s="9" t="s">
        <v>95</v>
      </c>
      <c r="E86" s="10">
        <f>64331.4+1566.6</f>
        <v>65898</v>
      </c>
      <c r="F86" s="2">
        <v>0</v>
      </c>
      <c r="G86" s="10">
        <v>0</v>
      </c>
    </row>
    <row r="87" spans="1:7" outlineLevel="2" x14ac:dyDescent="0.25">
      <c r="A87" s="43" t="s">
        <v>33</v>
      </c>
      <c r="B87" s="9" t="s">
        <v>24</v>
      </c>
      <c r="C87" s="9" t="s">
        <v>47</v>
      </c>
      <c r="D87" s="5">
        <v>800</v>
      </c>
      <c r="E87" s="10">
        <f>22312.4+60.3+435.6+26.4+166.1+38755.7</f>
        <v>61756.5</v>
      </c>
      <c r="F87" s="10">
        <v>13236.1</v>
      </c>
      <c r="G87" s="10">
        <v>13236.1</v>
      </c>
    </row>
    <row r="88" spans="1:7" outlineLevel="2" x14ac:dyDescent="0.25">
      <c r="A88" s="11" t="s">
        <v>558</v>
      </c>
      <c r="B88" s="9" t="s">
        <v>24</v>
      </c>
      <c r="C88" s="9" t="s">
        <v>560</v>
      </c>
      <c r="D88" s="9"/>
      <c r="E88" s="10">
        <f>E90+E89</f>
        <v>430</v>
      </c>
      <c r="F88" s="2">
        <f t="shared" ref="F88:G88" si="19">F90+F89</f>
        <v>0</v>
      </c>
      <c r="G88" s="2">
        <f t="shared" si="19"/>
        <v>0</v>
      </c>
    </row>
    <row r="89" spans="1:7" ht="31.5" outlineLevel="2" x14ac:dyDescent="0.25">
      <c r="A89" s="42" t="s">
        <v>76</v>
      </c>
      <c r="B89" s="9" t="s">
        <v>24</v>
      </c>
      <c r="C89" s="9" t="s">
        <v>560</v>
      </c>
      <c r="D89" s="9" t="s">
        <v>39</v>
      </c>
      <c r="E89" s="10">
        <f>45</f>
        <v>45</v>
      </c>
      <c r="F89" s="2">
        <v>0</v>
      </c>
      <c r="G89" s="10">
        <v>0</v>
      </c>
    </row>
    <row r="90" spans="1:7" outlineLevel="2" x14ac:dyDescent="0.25">
      <c r="A90" s="11" t="s">
        <v>33</v>
      </c>
      <c r="B90" s="9" t="s">
        <v>24</v>
      </c>
      <c r="C90" s="9" t="s">
        <v>560</v>
      </c>
      <c r="D90" s="9">
        <v>800</v>
      </c>
      <c r="E90" s="10">
        <f>35291.3-34926.3+20</f>
        <v>385</v>
      </c>
      <c r="F90" s="10">
        <v>0</v>
      </c>
      <c r="G90" s="10">
        <v>0</v>
      </c>
    </row>
    <row r="91" spans="1:7" outlineLevel="2" x14ac:dyDescent="0.25">
      <c r="A91" s="11" t="s">
        <v>559</v>
      </c>
      <c r="B91" s="9" t="s">
        <v>24</v>
      </c>
      <c r="C91" s="9" t="s">
        <v>561</v>
      </c>
      <c r="D91" s="9"/>
      <c r="E91" s="10">
        <f>E92</f>
        <v>8765</v>
      </c>
      <c r="F91" s="2">
        <f t="shared" ref="F91:G91" si="20">F92</f>
        <v>0</v>
      </c>
      <c r="G91" s="10">
        <f t="shared" si="20"/>
        <v>0</v>
      </c>
    </row>
    <row r="92" spans="1:7" outlineLevel="2" x14ac:dyDescent="0.25">
      <c r="A92" s="11" t="s">
        <v>33</v>
      </c>
      <c r="B92" s="9" t="s">
        <v>24</v>
      </c>
      <c r="C92" s="9" t="s">
        <v>561</v>
      </c>
      <c r="D92" s="9">
        <v>800</v>
      </c>
      <c r="E92" s="10">
        <f>5157.5+3607.5</f>
        <v>8765</v>
      </c>
      <c r="F92" s="10">
        <v>0</v>
      </c>
      <c r="G92" s="10">
        <v>0</v>
      </c>
    </row>
    <row r="93" spans="1:7" ht="47.25" outlineLevel="2" x14ac:dyDescent="0.25">
      <c r="A93" s="40" t="s">
        <v>487</v>
      </c>
      <c r="B93" s="9" t="s">
        <v>24</v>
      </c>
      <c r="C93" s="9" t="s">
        <v>131</v>
      </c>
      <c r="D93" s="5"/>
      <c r="E93" s="10">
        <f>E94</f>
        <v>287.39999999999998</v>
      </c>
      <c r="F93" s="2">
        <f>F94</f>
        <v>287.39999999999998</v>
      </c>
      <c r="G93" s="89">
        <f>G94</f>
        <v>287.39999999999998</v>
      </c>
    </row>
    <row r="94" spans="1:7" ht="31.5" outlineLevel="2" x14ac:dyDescent="0.25">
      <c r="A94" s="11" t="s">
        <v>20</v>
      </c>
      <c r="B94" s="9" t="s">
        <v>24</v>
      </c>
      <c r="C94" s="9" t="s">
        <v>131</v>
      </c>
      <c r="D94" s="5">
        <v>300</v>
      </c>
      <c r="E94" s="10">
        <v>287.39999999999998</v>
      </c>
      <c r="F94" s="10">
        <v>287.39999999999998</v>
      </c>
      <c r="G94" s="89">
        <v>287.39999999999998</v>
      </c>
    </row>
    <row r="95" spans="1:7" ht="47.25" outlineLevel="2" x14ac:dyDescent="0.25">
      <c r="A95" s="11" t="s">
        <v>25</v>
      </c>
      <c r="B95" s="9" t="s">
        <v>24</v>
      </c>
      <c r="C95" s="9" t="s">
        <v>26</v>
      </c>
      <c r="D95" s="5"/>
      <c r="E95" s="10">
        <f>E96</f>
        <v>2283.4</v>
      </c>
      <c r="F95" s="2">
        <f>F96</f>
        <v>1091.9000000000001</v>
      </c>
      <c r="G95" s="89">
        <f>G96</f>
        <v>1091.9000000000001</v>
      </c>
    </row>
    <row r="96" spans="1:7" ht="31.5" outlineLevel="2" x14ac:dyDescent="0.25">
      <c r="A96" s="11" t="s">
        <v>20</v>
      </c>
      <c r="B96" s="9" t="s">
        <v>24</v>
      </c>
      <c r="C96" s="9" t="s">
        <v>26</v>
      </c>
      <c r="D96" s="5">
        <v>300</v>
      </c>
      <c r="E96" s="10">
        <f>1823.6+344.9+114.9</f>
        <v>2283.4</v>
      </c>
      <c r="F96" s="10">
        <v>1091.9000000000001</v>
      </c>
      <c r="G96" s="2">
        <v>1091.9000000000001</v>
      </c>
    </row>
    <row r="97" spans="1:7" outlineLevel="2" x14ac:dyDescent="0.25">
      <c r="A97" s="42" t="s">
        <v>628</v>
      </c>
      <c r="B97" s="9" t="s">
        <v>24</v>
      </c>
      <c r="C97" s="9" t="s">
        <v>132</v>
      </c>
      <c r="D97" s="9"/>
      <c r="E97" s="10">
        <f>+E98</f>
        <v>763.3</v>
      </c>
      <c r="F97" s="10">
        <f t="shared" ref="F97:G97" si="21">+F98</f>
        <v>513.29999999999995</v>
      </c>
      <c r="G97" s="10">
        <f t="shared" si="21"/>
        <v>513.29999999999995</v>
      </c>
    </row>
    <row r="98" spans="1:7" ht="47.25" outlineLevel="2" x14ac:dyDescent="0.25">
      <c r="A98" s="43" t="s">
        <v>94</v>
      </c>
      <c r="B98" s="9" t="s">
        <v>24</v>
      </c>
      <c r="C98" s="9" t="s">
        <v>132</v>
      </c>
      <c r="D98" s="9" t="s">
        <v>95</v>
      </c>
      <c r="E98" s="10">
        <f>513.3+250</f>
        <v>763.3</v>
      </c>
      <c r="F98" s="10">
        <v>513.29999999999995</v>
      </c>
      <c r="G98" s="2">
        <v>513.29999999999995</v>
      </c>
    </row>
    <row r="99" spans="1:7" ht="31.5" outlineLevel="2" x14ac:dyDescent="0.25">
      <c r="A99" s="42" t="s">
        <v>133</v>
      </c>
      <c r="B99" s="9" t="s">
        <v>24</v>
      </c>
      <c r="C99" s="9" t="s">
        <v>134</v>
      </c>
      <c r="D99" s="9"/>
      <c r="E99" s="10">
        <f>+E100</f>
        <v>2913.2</v>
      </c>
      <c r="F99" s="2">
        <f>+F100</f>
        <v>2913.2</v>
      </c>
      <c r="G99" s="2">
        <f>+G100</f>
        <v>2913.2</v>
      </c>
    </row>
    <row r="100" spans="1:7" ht="47.25" outlineLevel="2" x14ac:dyDescent="0.25">
      <c r="A100" s="43" t="s">
        <v>94</v>
      </c>
      <c r="B100" s="9" t="s">
        <v>24</v>
      </c>
      <c r="C100" s="9" t="s">
        <v>134</v>
      </c>
      <c r="D100" s="9" t="s">
        <v>95</v>
      </c>
      <c r="E100" s="10">
        <v>2913.2</v>
      </c>
      <c r="F100" s="10">
        <v>2913.2</v>
      </c>
      <c r="G100" s="2">
        <v>2913.2</v>
      </c>
    </row>
    <row r="101" spans="1:7" ht="31.5" outlineLevel="2" x14ac:dyDescent="0.25">
      <c r="A101" s="42" t="s">
        <v>139</v>
      </c>
      <c r="B101" s="9" t="s">
        <v>24</v>
      </c>
      <c r="C101" s="9" t="s">
        <v>140</v>
      </c>
      <c r="D101" s="9"/>
      <c r="E101" s="10">
        <f>+E102</f>
        <v>2000</v>
      </c>
      <c r="F101" s="2">
        <f t="shared" ref="F101:G101" si="22">+F102</f>
        <v>650</v>
      </c>
      <c r="G101" s="2">
        <f t="shared" si="22"/>
        <v>650</v>
      </c>
    </row>
    <row r="102" spans="1:7" ht="31.5" outlineLevel="2" x14ac:dyDescent="0.25">
      <c r="A102" s="42" t="s">
        <v>20</v>
      </c>
      <c r="B102" s="9" t="s">
        <v>24</v>
      </c>
      <c r="C102" s="9" t="s">
        <v>140</v>
      </c>
      <c r="D102" s="9" t="s">
        <v>551</v>
      </c>
      <c r="E102" s="10">
        <f>650+1350</f>
        <v>2000</v>
      </c>
      <c r="F102" s="10">
        <v>650</v>
      </c>
      <c r="G102" s="2">
        <v>650</v>
      </c>
    </row>
    <row r="103" spans="1:7" ht="63" outlineLevel="2" x14ac:dyDescent="0.25">
      <c r="A103" s="42" t="s">
        <v>629</v>
      </c>
      <c r="B103" s="9" t="s">
        <v>24</v>
      </c>
      <c r="C103" s="9" t="s">
        <v>631</v>
      </c>
      <c r="D103" s="9"/>
      <c r="E103" s="10">
        <f>+E104</f>
        <v>5899.5</v>
      </c>
      <c r="F103" s="2">
        <f t="shared" ref="F103:G103" si="23">+F104</f>
        <v>0</v>
      </c>
      <c r="G103" s="2">
        <f t="shared" si="23"/>
        <v>0</v>
      </c>
    </row>
    <row r="104" spans="1:7" ht="47.25" outlineLevel="2" x14ac:dyDescent="0.25">
      <c r="A104" s="42" t="s">
        <v>94</v>
      </c>
      <c r="B104" s="9" t="s">
        <v>24</v>
      </c>
      <c r="C104" s="9" t="s">
        <v>631</v>
      </c>
      <c r="D104" s="9" t="s">
        <v>95</v>
      </c>
      <c r="E104" s="10">
        <v>5899.5</v>
      </c>
      <c r="F104" s="10">
        <v>0</v>
      </c>
      <c r="G104" s="2">
        <v>0</v>
      </c>
    </row>
    <row r="105" spans="1:7" ht="78.75" outlineLevel="2" x14ac:dyDescent="0.25">
      <c r="A105" s="42" t="s">
        <v>630</v>
      </c>
      <c r="B105" s="9" t="s">
        <v>24</v>
      </c>
      <c r="C105" s="9" t="s">
        <v>632</v>
      </c>
      <c r="D105" s="9"/>
      <c r="E105" s="10">
        <f>+E106</f>
        <v>13428</v>
      </c>
      <c r="F105" s="2">
        <f t="shared" ref="F105:G105" si="24">+F106</f>
        <v>0</v>
      </c>
      <c r="G105" s="2">
        <f t="shared" si="24"/>
        <v>0</v>
      </c>
    </row>
    <row r="106" spans="1:7" ht="47.25" outlineLevel="2" x14ac:dyDescent="0.25">
      <c r="A106" s="42" t="s">
        <v>94</v>
      </c>
      <c r="B106" s="9" t="s">
        <v>24</v>
      </c>
      <c r="C106" s="9" t="s">
        <v>632</v>
      </c>
      <c r="D106" s="9" t="s">
        <v>95</v>
      </c>
      <c r="E106" s="10">
        <f>12881.6+546.4</f>
        <v>13428</v>
      </c>
      <c r="F106" s="10">
        <v>0</v>
      </c>
      <c r="G106" s="2">
        <v>0</v>
      </c>
    </row>
    <row r="107" spans="1:7" ht="47.25" outlineLevel="2" x14ac:dyDescent="0.25">
      <c r="A107" s="11" t="s">
        <v>626</v>
      </c>
      <c r="B107" s="9" t="s">
        <v>24</v>
      </c>
      <c r="C107" s="9" t="s">
        <v>627</v>
      </c>
      <c r="D107" s="9"/>
      <c r="E107" s="10">
        <f>+E108</f>
        <v>2934.1</v>
      </c>
      <c r="F107" s="2">
        <v>0</v>
      </c>
      <c r="G107" s="2">
        <v>0</v>
      </c>
    </row>
    <row r="108" spans="1:7" ht="47.25" outlineLevel="2" x14ac:dyDescent="0.25">
      <c r="A108" s="42" t="s">
        <v>94</v>
      </c>
      <c r="B108" s="9" t="s">
        <v>24</v>
      </c>
      <c r="C108" s="9" t="s">
        <v>627</v>
      </c>
      <c r="D108" s="9" t="s">
        <v>95</v>
      </c>
      <c r="E108" s="10">
        <v>2934.1</v>
      </c>
      <c r="F108" s="10">
        <v>0</v>
      </c>
      <c r="G108" s="2">
        <v>0</v>
      </c>
    </row>
    <row r="109" spans="1:7" ht="47.25" outlineLevel="2" x14ac:dyDescent="0.25">
      <c r="A109" s="42" t="s">
        <v>633</v>
      </c>
      <c r="B109" s="9" t="s">
        <v>24</v>
      </c>
      <c r="C109" s="9" t="s">
        <v>634</v>
      </c>
      <c r="D109" s="9"/>
      <c r="E109" s="10">
        <f>+E110</f>
        <v>400</v>
      </c>
      <c r="F109" s="2">
        <v>0</v>
      </c>
      <c r="G109" s="2">
        <v>0</v>
      </c>
    </row>
    <row r="110" spans="1:7" ht="47.25" outlineLevel="2" x14ac:dyDescent="0.25">
      <c r="A110" s="42" t="s">
        <v>94</v>
      </c>
      <c r="B110" s="9" t="s">
        <v>24</v>
      </c>
      <c r="C110" s="9" t="s">
        <v>634</v>
      </c>
      <c r="D110" s="9" t="s">
        <v>95</v>
      </c>
      <c r="E110" s="10">
        <v>400</v>
      </c>
      <c r="F110" s="10">
        <v>0</v>
      </c>
      <c r="G110" s="2">
        <v>0</v>
      </c>
    </row>
    <row r="111" spans="1:7" ht="47.25" outlineLevel="2" x14ac:dyDescent="0.25">
      <c r="A111" s="46" t="s">
        <v>59</v>
      </c>
      <c r="B111" s="1" t="s">
        <v>24</v>
      </c>
      <c r="C111" s="1" t="s">
        <v>60</v>
      </c>
      <c r="D111" s="9"/>
      <c r="E111" s="10">
        <f>E112</f>
        <v>110921.09999999999</v>
      </c>
      <c r="F111" s="2">
        <f t="shared" ref="E111:G112" si="25">F112</f>
        <v>99289.099999999991</v>
      </c>
      <c r="G111" s="10">
        <f t="shared" si="25"/>
        <v>100798.29999999999</v>
      </c>
    </row>
    <row r="112" spans="1:7" outlineLevel="2" x14ac:dyDescent="0.25">
      <c r="A112" s="46" t="s">
        <v>144</v>
      </c>
      <c r="B112" s="1" t="s">
        <v>24</v>
      </c>
      <c r="C112" s="1" t="s">
        <v>135</v>
      </c>
      <c r="D112" s="9"/>
      <c r="E112" s="10">
        <f t="shared" si="25"/>
        <v>110921.09999999999</v>
      </c>
      <c r="F112" s="10">
        <f t="shared" si="25"/>
        <v>99289.099999999991</v>
      </c>
      <c r="G112" s="10">
        <f t="shared" si="25"/>
        <v>100798.29999999999</v>
      </c>
    </row>
    <row r="113" spans="1:9" ht="110.25" outlineLevel="2" x14ac:dyDescent="0.25">
      <c r="A113" s="46" t="s">
        <v>497</v>
      </c>
      <c r="B113" s="1" t="s">
        <v>24</v>
      </c>
      <c r="C113" s="1" t="s">
        <v>398</v>
      </c>
      <c r="D113" s="9"/>
      <c r="E113" s="10">
        <f>E114+E119</f>
        <v>110921.09999999999</v>
      </c>
      <c r="F113" s="2">
        <f>F114+F119</f>
        <v>99289.099999999991</v>
      </c>
      <c r="G113" s="10">
        <f>G114+G119</f>
        <v>100798.29999999999</v>
      </c>
    </row>
    <row r="114" spans="1:9" ht="47.25" outlineLevel="2" x14ac:dyDescent="0.25">
      <c r="A114" s="40" t="s">
        <v>158</v>
      </c>
      <c r="B114" s="1" t="s">
        <v>24</v>
      </c>
      <c r="C114" s="1" t="s">
        <v>478</v>
      </c>
      <c r="D114" s="16"/>
      <c r="E114" s="10">
        <f>E115+E116+E118+E117</f>
        <v>69078.099999999991</v>
      </c>
      <c r="F114" s="10">
        <f t="shared" ref="F114:G114" si="26">F115+F116+F118</f>
        <v>59805.999999999993</v>
      </c>
      <c r="G114" s="10">
        <f t="shared" si="26"/>
        <v>59805.999999999993</v>
      </c>
    </row>
    <row r="115" spans="1:9" ht="94.5" outlineLevel="2" x14ac:dyDescent="0.25">
      <c r="A115" s="11" t="s">
        <v>75</v>
      </c>
      <c r="B115" s="1" t="s">
        <v>24</v>
      </c>
      <c r="C115" s="1" t="s">
        <v>478</v>
      </c>
      <c r="D115" s="16">
        <v>100</v>
      </c>
      <c r="E115" s="10">
        <f>62000.5+20+20+19.2</f>
        <v>62059.7</v>
      </c>
      <c r="F115" s="2">
        <v>57388.2</v>
      </c>
      <c r="G115" s="10">
        <v>57388.2</v>
      </c>
    </row>
    <row r="116" spans="1:9" ht="31.5" outlineLevel="2" x14ac:dyDescent="0.25">
      <c r="A116" s="11" t="s">
        <v>76</v>
      </c>
      <c r="B116" s="1" t="s">
        <v>24</v>
      </c>
      <c r="C116" s="1" t="s">
        <v>478</v>
      </c>
      <c r="D116" s="16">
        <v>200</v>
      </c>
      <c r="E116" s="10">
        <f>2319.7+46</f>
        <v>2365.6999999999998</v>
      </c>
      <c r="F116" s="10">
        <v>2187.6999999999998</v>
      </c>
      <c r="G116" s="10">
        <v>2187.6999999999998</v>
      </c>
    </row>
    <row r="117" spans="1:9" ht="31.5" outlineLevel="2" x14ac:dyDescent="0.25">
      <c r="A117" s="40" t="s">
        <v>20</v>
      </c>
      <c r="B117" s="9" t="s">
        <v>24</v>
      </c>
      <c r="C117" s="9" t="s">
        <v>478</v>
      </c>
      <c r="D117" s="9">
        <v>300</v>
      </c>
      <c r="E117" s="10">
        <v>915</v>
      </c>
      <c r="F117" s="2">
        <v>0</v>
      </c>
      <c r="G117" s="10">
        <v>0</v>
      </c>
    </row>
    <row r="118" spans="1:9" outlineLevel="2" x14ac:dyDescent="0.25">
      <c r="A118" s="40" t="s">
        <v>33</v>
      </c>
      <c r="B118" s="1" t="s">
        <v>24</v>
      </c>
      <c r="C118" s="1" t="s">
        <v>478</v>
      </c>
      <c r="D118" s="16">
        <v>800</v>
      </c>
      <c r="E118" s="10">
        <f>3776.9-20-19.2</f>
        <v>3737.7000000000003</v>
      </c>
      <c r="F118" s="10">
        <v>230.1</v>
      </c>
      <c r="G118" s="10">
        <v>230.1</v>
      </c>
    </row>
    <row r="119" spans="1:9" ht="47.25" outlineLevel="2" x14ac:dyDescent="0.25">
      <c r="A119" s="11" t="s">
        <v>150</v>
      </c>
      <c r="B119" s="1" t="s">
        <v>24</v>
      </c>
      <c r="C119" s="1" t="s">
        <v>475</v>
      </c>
      <c r="D119" s="16"/>
      <c r="E119" s="10">
        <f>E120+E121</f>
        <v>41843</v>
      </c>
      <c r="F119" s="2">
        <f>F120+F121</f>
        <v>39483.1</v>
      </c>
      <c r="G119" s="10">
        <f>G120+G121</f>
        <v>40992.299999999996</v>
      </c>
    </row>
    <row r="120" spans="1:9" ht="94.5" outlineLevel="2" x14ac:dyDescent="0.25">
      <c r="A120" s="40" t="s">
        <v>75</v>
      </c>
      <c r="B120" s="1" t="s">
        <v>24</v>
      </c>
      <c r="C120" s="1" t="s">
        <v>475</v>
      </c>
      <c r="D120" s="16">
        <v>100</v>
      </c>
      <c r="E120" s="10">
        <f>36416+3397.9</f>
        <v>39813.9</v>
      </c>
      <c r="F120" s="10">
        <v>37732.5</v>
      </c>
      <c r="G120" s="10">
        <v>39241.699999999997</v>
      </c>
    </row>
    <row r="121" spans="1:9" ht="31.5" outlineLevel="2" x14ac:dyDescent="0.25">
      <c r="A121" s="40" t="s">
        <v>76</v>
      </c>
      <c r="B121" s="1" t="s">
        <v>24</v>
      </c>
      <c r="C121" s="1" t="s">
        <v>475</v>
      </c>
      <c r="D121" s="16">
        <v>200</v>
      </c>
      <c r="E121" s="10">
        <f>1804.1+225</f>
        <v>2029.1</v>
      </c>
      <c r="F121" s="2">
        <v>1750.6</v>
      </c>
      <c r="G121" s="10">
        <v>1750.6</v>
      </c>
    </row>
    <row r="122" spans="1:9" ht="78.75" outlineLevel="2" x14ac:dyDescent="0.25">
      <c r="A122" s="42" t="s">
        <v>345</v>
      </c>
      <c r="B122" s="1" t="s">
        <v>24</v>
      </c>
      <c r="C122" s="1" t="s">
        <v>54</v>
      </c>
      <c r="D122" s="16"/>
      <c r="E122" s="10">
        <f t="shared" ref="E122:G125" si="27">E123</f>
        <v>278.5</v>
      </c>
      <c r="F122" s="10">
        <f t="shared" si="27"/>
        <v>278.5</v>
      </c>
      <c r="G122" s="10">
        <f t="shared" si="27"/>
        <v>278.5</v>
      </c>
    </row>
    <row r="123" spans="1:9" outlineLevel="2" x14ac:dyDescent="0.25">
      <c r="A123" s="43" t="s">
        <v>144</v>
      </c>
      <c r="B123" s="1" t="s">
        <v>24</v>
      </c>
      <c r="C123" s="1" t="s">
        <v>83</v>
      </c>
      <c r="D123" s="16"/>
      <c r="E123" s="10">
        <f t="shared" si="27"/>
        <v>278.5</v>
      </c>
      <c r="F123" s="2">
        <f t="shared" si="27"/>
        <v>278.5</v>
      </c>
      <c r="G123" s="10">
        <f t="shared" si="27"/>
        <v>278.5</v>
      </c>
    </row>
    <row r="124" spans="1:9" ht="78.75" outlineLevel="2" x14ac:dyDescent="0.25">
      <c r="A124" s="42" t="s">
        <v>506</v>
      </c>
      <c r="B124" s="1" t="s">
        <v>24</v>
      </c>
      <c r="C124" s="1" t="s">
        <v>401</v>
      </c>
      <c r="D124" s="16"/>
      <c r="E124" s="10">
        <f t="shared" si="27"/>
        <v>278.5</v>
      </c>
      <c r="F124" s="10">
        <f t="shared" si="27"/>
        <v>278.5</v>
      </c>
      <c r="G124" s="10">
        <f t="shared" si="27"/>
        <v>278.5</v>
      </c>
    </row>
    <row r="125" spans="1:9" ht="63" outlineLevel="2" x14ac:dyDescent="0.25">
      <c r="A125" s="40" t="s">
        <v>476</v>
      </c>
      <c r="B125" s="1" t="s">
        <v>24</v>
      </c>
      <c r="C125" s="1" t="s">
        <v>477</v>
      </c>
      <c r="D125" s="16"/>
      <c r="E125" s="10">
        <f t="shared" si="27"/>
        <v>278.5</v>
      </c>
      <c r="F125" s="2">
        <f t="shared" si="27"/>
        <v>278.5</v>
      </c>
      <c r="G125" s="10">
        <f t="shared" si="27"/>
        <v>278.5</v>
      </c>
    </row>
    <row r="126" spans="1:9" ht="31.5" outlineLevel="2" x14ac:dyDescent="0.25">
      <c r="A126" s="40" t="s">
        <v>76</v>
      </c>
      <c r="B126" s="1" t="s">
        <v>24</v>
      </c>
      <c r="C126" s="1" t="s">
        <v>477</v>
      </c>
      <c r="D126" s="16">
        <v>200</v>
      </c>
      <c r="E126" s="10">
        <v>278.5</v>
      </c>
      <c r="F126" s="10">
        <v>278.5</v>
      </c>
      <c r="G126" s="10">
        <v>278.5</v>
      </c>
    </row>
    <row r="127" spans="1:9" ht="31.5" x14ac:dyDescent="0.25">
      <c r="A127" s="41" t="s">
        <v>67</v>
      </c>
      <c r="B127" s="6" t="s">
        <v>68</v>
      </c>
      <c r="D127" s="1"/>
      <c r="E127" s="8">
        <f>+E128+E150</f>
        <v>202034.70000000004</v>
      </c>
      <c r="F127" s="8">
        <f>+F128+F150</f>
        <v>222508.3</v>
      </c>
      <c r="G127" s="8">
        <f>+G128+G150</f>
        <v>235266.8</v>
      </c>
    </row>
    <row r="128" spans="1:9" ht="63" outlineLevel="1" x14ac:dyDescent="0.25">
      <c r="A128" s="40" t="s">
        <v>69</v>
      </c>
      <c r="B128" s="9" t="s">
        <v>70</v>
      </c>
      <c r="D128" s="1"/>
      <c r="E128" s="2">
        <f>+E129</f>
        <v>200522.70000000004</v>
      </c>
      <c r="F128" s="2">
        <f t="shared" ref="F128:G128" si="28">+F129</f>
        <v>222508.3</v>
      </c>
      <c r="G128" s="2">
        <f t="shared" si="28"/>
        <v>235266.8</v>
      </c>
      <c r="H128" s="17"/>
      <c r="I128" s="34"/>
    </row>
    <row r="129" spans="1:7" outlineLevel="2" x14ac:dyDescent="0.25">
      <c r="A129" s="11" t="s">
        <v>9</v>
      </c>
      <c r="B129" s="9" t="s">
        <v>70</v>
      </c>
      <c r="C129" s="1" t="s">
        <v>10</v>
      </c>
      <c r="D129" s="1"/>
      <c r="E129" s="2">
        <f>+E130+E133</f>
        <v>200522.70000000004</v>
      </c>
      <c r="F129" s="2">
        <f t="shared" ref="F129:G129" si="29">+F130+F133</f>
        <v>222508.3</v>
      </c>
      <c r="G129" s="2">
        <f t="shared" si="29"/>
        <v>235266.8</v>
      </c>
    </row>
    <row r="130" spans="1:7" ht="31.5" outlineLevel="2" x14ac:dyDescent="0.25">
      <c r="A130" s="11" t="s">
        <v>65</v>
      </c>
      <c r="B130" s="9" t="s">
        <v>70</v>
      </c>
      <c r="C130" s="1" t="s">
        <v>66</v>
      </c>
      <c r="D130" s="1"/>
      <c r="E130" s="2">
        <f>+E132+E131</f>
        <v>8814.6</v>
      </c>
      <c r="F130" s="2">
        <f>+F132+F131</f>
        <v>0</v>
      </c>
      <c r="G130" s="2">
        <f>+G132+G131</f>
        <v>0</v>
      </c>
    </row>
    <row r="131" spans="1:7" ht="31.5" outlineLevel="2" x14ac:dyDescent="0.25">
      <c r="A131" s="11" t="s">
        <v>76</v>
      </c>
      <c r="B131" s="9" t="s">
        <v>70</v>
      </c>
      <c r="C131" s="1" t="s">
        <v>66</v>
      </c>
      <c r="D131" s="1">
        <v>200</v>
      </c>
      <c r="E131" s="2">
        <v>6279</v>
      </c>
      <c r="F131" s="2">
        <v>0</v>
      </c>
      <c r="G131" s="2">
        <v>0</v>
      </c>
    </row>
    <row r="132" spans="1:7" ht="47.25" outlineLevel="2" x14ac:dyDescent="0.25">
      <c r="A132" s="42" t="s">
        <v>94</v>
      </c>
      <c r="B132" s="9" t="s">
        <v>70</v>
      </c>
      <c r="C132" s="1" t="s">
        <v>66</v>
      </c>
      <c r="D132" s="1" t="s">
        <v>95</v>
      </c>
      <c r="E132" s="2">
        <v>2535.6</v>
      </c>
      <c r="F132" s="2">
        <v>0</v>
      </c>
      <c r="G132" s="10">
        <v>0</v>
      </c>
    </row>
    <row r="133" spans="1:7" ht="47.25" outlineLevel="2" x14ac:dyDescent="0.25">
      <c r="A133" s="40" t="s">
        <v>49</v>
      </c>
      <c r="B133" s="9" t="s">
        <v>70</v>
      </c>
      <c r="C133" s="1" t="s">
        <v>50</v>
      </c>
      <c r="D133" s="1"/>
      <c r="E133" s="2">
        <f>E134+E138</f>
        <v>191708.10000000003</v>
      </c>
      <c r="F133" s="2">
        <f>F134+F138</f>
        <v>222508.3</v>
      </c>
      <c r="G133" s="10">
        <f>G134+G138</f>
        <v>235266.8</v>
      </c>
    </row>
    <row r="134" spans="1:7" ht="31.5" outlineLevel="2" x14ac:dyDescent="0.25">
      <c r="A134" s="47" t="s">
        <v>154</v>
      </c>
      <c r="B134" s="9" t="s">
        <v>70</v>
      </c>
      <c r="C134" s="1" t="s">
        <v>71</v>
      </c>
      <c r="D134" s="1"/>
      <c r="E134" s="10">
        <f>E135</f>
        <v>3936.2</v>
      </c>
      <c r="F134" s="10">
        <f t="shared" ref="F134:G136" si="30">F135</f>
        <v>3932</v>
      </c>
      <c r="G134" s="10">
        <f t="shared" si="30"/>
        <v>3932</v>
      </c>
    </row>
    <row r="135" spans="1:7" ht="63" outlineLevel="2" x14ac:dyDescent="0.25">
      <c r="A135" s="47" t="s">
        <v>905</v>
      </c>
      <c r="B135" s="9" t="s">
        <v>70</v>
      </c>
      <c r="C135" s="9" t="s">
        <v>72</v>
      </c>
      <c r="D135" s="5"/>
      <c r="E135" s="10">
        <f>E136</f>
        <v>3936.2</v>
      </c>
      <c r="F135" s="10">
        <f t="shared" si="30"/>
        <v>3932</v>
      </c>
      <c r="G135" s="10">
        <f t="shared" si="30"/>
        <v>3932</v>
      </c>
    </row>
    <row r="136" spans="1:7" ht="31.5" outlineLevel="2" x14ac:dyDescent="0.25">
      <c r="A136" s="47" t="s">
        <v>145</v>
      </c>
      <c r="B136" s="9" t="s">
        <v>70</v>
      </c>
      <c r="C136" s="9" t="s">
        <v>146</v>
      </c>
      <c r="D136" s="5"/>
      <c r="E136" s="10">
        <f>E137</f>
        <v>3936.2</v>
      </c>
      <c r="F136" s="2">
        <f t="shared" si="30"/>
        <v>3932</v>
      </c>
      <c r="G136" s="10">
        <f t="shared" si="30"/>
        <v>3932</v>
      </c>
    </row>
    <row r="137" spans="1:7" ht="31.5" outlineLevel="2" x14ac:dyDescent="0.25">
      <c r="A137" s="11" t="s">
        <v>76</v>
      </c>
      <c r="B137" s="9" t="s">
        <v>70</v>
      </c>
      <c r="C137" s="9" t="s">
        <v>146</v>
      </c>
      <c r="D137" s="5">
        <v>200</v>
      </c>
      <c r="E137" s="10">
        <v>3936.2</v>
      </c>
      <c r="F137" s="10">
        <v>3932</v>
      </c>
      <c r="G137" s="10">
        <v>3932</v>
      </c>
    </row>
    <row r="138" spans="1:7" outlineLevel="2" x14ac:dyDescent="0.25">
      <c r="A138" s="11" t="s">
        <v>144</v>
      </c>
      <c r="B138" s="9" t="s">
        <v>70</v>
      </c>
      <c r="C138" s="9" t="s">
        <v>73</v>
      </c>
      <c r="D138" s="5"/>
      <c r="E138" s="10">
        <f>E139</f>
        <v>187771.90000000002</v>
      </c>
      <c r="F138" s="10">
        <f t="shared" ref="F138:G138" si="31">F139</f>
        <v>218576.3</v>
      </c>
      <c r="G138" s="10">
        <f t="shared" si="31"/>
        <v>231334.8</v>
      </c>
    </row>
    <row r="139" spans="1:7" ht="126" outlineLevel="2" x14ac:dyDescent="0.25">
      <c r="A139" s="11" t="s">
        <v>502</v>
      </c>
      <c r="B139" s="9" t="s">
        <v>70</v>
      </c>
      <c r="C139" s="9" t="s">
        <v>74</v>
      </c>
      <c r="D139" s="5"/>
      <c r="E139" s="10">
        <f>E140+E142+E144+E148</f>
        <v>187771.90000000002</v>
      </c>
      <c r="F139" s="2">
        <f t="shared" ref="F139:G139" si="32">F140+F142+F144+F148</f>
        <v>218576.3</v>
      </c>
      <c r="G139" s="10">
        <f t="shared" si="32"/>
        <v>231334.8</v>
      </c>
    </row>
    <row r="140" spans="1:7" ht="31.5" outlineLevel="2" x14ac:dyDescent="0.25">
      <c r="A140" s="11" t="s">
        <v>488</v>
      </c>
      <c r="B140" s="9" t="s">
        <v>70</v>
      </c>
      <c r="C140" s="9" t="s">
        <v>147</v>
      </c>
      <c r="D140" s="5"/>
      <c r="E140" s="10">
        <f>E141</f>
        <v>49591.6</v>
      </c>
      <c r="F140" s="10">
        <f>F141</f>
        <v>85886.9</v>
      </c>
      <c r="G140" s="10">
        <f>G141</f>
        <v>95058</v>
      </c>
    </row>
    <row r="141" spans="1:7" ht="31.5" outlineLevel="2" x14ac:dyDescent="0.25">
      <c r="A141" s="11" t="s">
        <v>76</v>
      </c>
      <c r="B141" s="9" t="s">
        <v>70</v>
      </c>
      <c r="C141" s="9" t="s">
        <v>147</v>
      </c>
      <c r="D141" s="5">
        <v>200</v>
      </c>
      <c r="E141" s="10">
        <v>49591.6</v>
      </c>
      <c r="F141" s="10">
        <f>49591.6+36295.3</f>
        <v>85886.9</v>
      </c>
      <c r="G141" s="10">
        <f>49591.6+45466.4</f>
        <v>95058</v>
      </c>
    </row>
    <row r="142" spans="1:7" ht="63" outlineLevel="2" x14ac:dyDescent="0.25">
      <c r="A142" s="11" t="s">
        <v>148</v>
      </c>
      <c r="B142" s="9" t="s">
        <v>70</v>
      </c>
      <c r="C142" s="9" t="s">
        <v>149</v>
      </c>
      <c r="D142" s="5"/>
      <c r="E142" s="10">
        <f>E143</f>
        <v>9607.5</v>
      </c>
      <c r="F142" s="2">
        <f t="shared" ref="F142:G142" si="33">F143</f>
        <v>14417.9</v>
      </c>
      <c r="G142" s="10">
        <f t="shared" si="33"/>
        <v>14417.9</v>
      </c>
    </row>
    <row r="143" spans="1:7" ht="31.5" outlineLevel="2" x14ac:dyDescent="0.25">
      <c r="A143" s="11" t="s">
        <v>76</v>
      </c>
      <c r="B143" s="9" t="s">
        <v>70</v>
      </c>
      <c r="C143" s="9" t="s">
        <v>149</v>
      </c>
      <c r="D143" s="5">
        <v>200</v>
      </c>
      <c r="E143" s="10">
        <v>9607.5</v>
      </c>
      <c r="F143" s="10">
        <v>14417.9</v>
      </c>
      <c r="G143" s="10">
        <v>14417.9</v>
      </c>
    </row>
    <row r="144" spans="1:7" ht="47.25" outlineLevel="2" x14ac:dyDescent="0.25">
      <c r="A144" s="11" t="s">
        <v>150</v>
      </c>
      <c r="B144" s="9" t="s">
        <v>70</v>
      </c>
      <c r="C144" s="9" t="s">
        <v>151</v>
      </c>
      <c r="D144" s="5"/>
      <c r="E144" s="10">
        <f>E145+E146+E147</f>
        <v>127536.1</v>
      </c>
      <c r="F144" s="10">
        <f t="shared" ref="F144:G144" si="34">F145+F146+F147</f>
        <v>118271.5</v>
      </c>
      <c r="G144" s="10">
        <f t="shared" si="34"/>
        <v>121858.9</v>
      </c>
    </row>
    <row r="145" spans="1:7" ht="94.5" outlineLevel="2" x14ac:dyDescent="0.25">
      <c r="A145" s="42" t="s">
        <v>13</v>
      </c>
      <c r="B145" s="9" t="s">
        <v>70</v>
      </c>
      <c r="C145" s="9" t="s">
        <v>151</v>
      </c>
      <c r="D145" s="5">
        <v>100</v>
      </c>
      <c r="E145" s="10">
        <f>106378.3+546.8</f>
        <v>106925.1</v>
      </c>
      <c r="F145" s="2">
        <v>103024.7</v>
      </c>
      <c r="G145" s="10">
        <v>106919.4</v>
      </c>
    </row>
    <row r="146" spans="1:7" ht="31.5" outlineLevel="2" x14ac:dyDescent="0.25">
      <c r="A146" s="42" t="s">
        <v>76</v>
      </c>
      <c r="B146" s="9" t="s">
        <v>70</v>
      </c>
      <c r="C146" s="9" t="s">
        <v>151</v>
      </c>
      <c r="D146" s="5">
        <v>200</v>
      </c>
      <c r="E146" s="10">
        <v>19207.300000000003</v>
      </c>
      <c r="F146" s="10">
        <v>14402</v>
      </c>
      <c r="G146" s="10">
        <v>14094.7</v>
      </c>
    </row>
    <row r="147" spans="1:7" outlineLevel="2" x14ac:dyDescent="0.25">
      <c r="A147" s="43" t="s">
        <v>33</v>
      </c>
      <c r="B147" s="9" t="s">
        <v>70</v>
      </c>
      <c r="C147" s="9" t="s">
        <v>151</v>
      </c>
      <c r="D147" s="5">
        <v>800</v>
      </c>
      <c r="E147" s="10">
        <v>1403.6999999999998</v>
      </c>
      <c r="F147" s="10">
        <v>844.8</v>
      </c>
      <c r="G147" s="10">
        <v>844.8</v>
      </c>
    </row>
    <row r="148" spans="1:7" ht="78.75" outlineLevel="2" x14ac:dyDescent="0.25">
      <c r="A148" s="43" t="s">
        <v>720</v>
      </c>
      <c r="B148" s="9" t="s">
        <v>70</v>
      </c>
      <c r="C148" s="9" t="s">
        <v>635</v>
      </c>
      <c r="D148" s="5"/>
      <c r="E148" s="10">
        <f>+E149</f>
        <v>1036.7</v>
      </c>
      <c r="F148" s="2">
        <f t="shared" ref="F148:G148" si="35">+F149</f>
        <v>0</v>
      </c>
      <c r="G148" s="10">
        <f t="shared" si="35"/>
        <v>0</v>
      </c>
    </row>
    <row r="149" spans="1:7" ht="31.5" outlineLevel="2" x14ac:dyDescent="0.25">
      <c r="A149" s="48" t="s">
        <v>20</v>
      </c>
      <c r="B149" s="9" t="s">
        <v>70</v>
      </c>
      <c r="C149" s="9" t="s">
        <v>635</v>
      </c>
      <c r="D149" s="9" t="s">
        <v>551</v>
      </c>
      <c r="E149" s="10">
        <v>1036.7</v>
      </c>
      <c r="F149" s="10">
        <v>0</v>
      </c>
      <c r="G149" s="10">
        <v>0</v>
      </c>
    </row>
    <row r="150" spans="1:7" ht="47.25" outlineLevel="1" x14ac:dyDescent="0.25">
      <c r="A150" s="46" t="s">
        <v>882</v>
      </c>
      <c r="B150" s="9" t="s">
        <v>883</v>
      </c>
      <c r="C150" s="9"/>
      <c r="D150" s="9"/>
      <c r="E150" s="10">
        <f>E151+E154</f>
        <v>1512</v>
      </c>
      <c r="F150" s="10">
        <f>F151+F154</f>
        <v>0</v>
      </c>
      <c r="G150" s="10">
        <f>G151+G154</f>
        <v>0</v>
      </c>
    </row>
    <row r="151" spans="1:7" outlineLevel="2" x14ac:dyDescent="0.25">
      <c r="A151" s="46" t="s">
        <v>9</v>
      </c>
      <c r="B151" s="9" t="s">
        <v>883</v>
      </c>
      <c r="C151" s="9" t="s">
        <v>10</v>
      </c>
      <c r="D151" s="9"/>
      <c r="E151" s="10">
        <f t="shared" ref="E151:G152" si="36">E152</f>
        <v>1134</v>
      </c>
      <c r="F151" s="10">
        <f t="shared" si="36"/>
        <v>0</v>
      </c>
      <c r="G151" s="10">
        <f t="shared" si="36"/>
        <v>0</v>
      </c>
    </row>
    <row r="152" spans="1:7" ht="31.5" outlineLevel="2" x14ac:dyDescent="0.25">
      <c r="A152" s="46" t="s">
        <v>65</v>
      </c>
      <c r="B152" s="9" t="s">
        <v>883</v>
      </c>
      <c r="C152" s="9" t="s">
        <v>66</v>
      </c>
      <c r="D152" s="9"/>
      <c r="E152" s="10">
        <f t="shared" si="36"/>
        <v>1134</v>
      </c>
      <c r="F152" s="10">
        <f t="shared" si="36"/>
        <v>0</v>
      </c>
      <c r="G152" s="10">
        <f t="shared" si="36"/>
        <v>0</v>
      </c>
    </row>
    <row r="153" spans="1:7" ht="31.5" outlineLevel="2" x14ac:dyDescent="0.25">
      <c r="A153" s="49" t="s">
        <v>76</v>
      </c>
      <c r="B153" s="9" t="s">
        <v>883</v>
      </c>
      <c r="C153" s="9" t="s">
        <v>66</v>
      </c>
      <c r="D153" s="9" t="s">
        <v>39</v>
      </c>
      <c r="E153" s="10">
        <v>1134</v>
      </c>
      <c r="F153" s="10">
        <v>0</v>
      </c>
      <c r="G153" s="10">
        <v>0</v>
      </c>
    </row>
    <row r="154" spans="1:7" ht="47.25" outlineLevel="2" x14ac:dyDescent="0.25">
      <c r="A154" s="50" t="s">
        <v>49</v>
      </c>
      <c r="B154" s="9" t="s">
        <v>883</v>
      </c>
      <c r="C154" s="9" t="s">
        <v>50</v>
      </c>
      <c r="D154" s="9"/>
      <c r="E154" s="10">
        <f t="shared" ref="E154:G157" si="37">E155</f>
        <v>378</v>
      </c>
      <c r="F154" s="10">
        <f t="shared" si="37"/>
        <v>0</v>
      </c>
      <c r="G154" s="10">
        <f t="shared" si="37"/>
        <v>0</v>
      </c>
    </row>
    <row r="155" spans="1:7" outlineLevel="2" x14ac:dyDescent="0.25">
      <c r="A155" s="50" t="s">
        <v>144</v>
      </c>
      <c r="B155" s="9" t="s">
        <v>883</v>
      </c>
      <c r="C155" s="9" t="s">
        <v>73</v>
      </c>
      <c r="D155" s="9"/>
      <c r="E155" s="10">
        <f t="shared" si="37"/>
        <v>378</v>
      </c>
      <c r="F155" s="10">
        <f t="shared" si="37"/>
        <v>0</v>
      </c>
      <c r="G155" s="10">
        <f t="shared" si="37"/>
        <v>0</v>
      </c>
    </row>
    <row r="156" spans="1:7" ht="126" outlineLevel="2" x14ac:dyDescent="0.25">
      <c r="A156" s="50" t="s">
        <v>502</v>
      </c>
      <c r="B156" s="9" t="s">
        <v>883</v>
      </c>
      <c r="C156" s="9" t="s">
        <v>74</v>
      </c>
      <c r="D156" s="9"/>
      <c r="E156" s="10">
        <f t="shared" si="37"/>
        <v>378</v>
      </c>
      <c r="F156" s="10">
        <f t="shared" si="37"/>
        <v>0</v>
      </c>
      <c r="G156" s="10">
        <f t="shared" si="37"/>
        <v>0</v>
      </c>
    </row>
    <row r="157" spans="1:7" ht="47.25" outlineLevel="2" x14ac:dyDescent="0.25">
      <c r="A157" s="46" t="s">
        <v>150</v>
      </c>
      <c r="B157" s="9" t="s">
        <v>883</v>
      </c>
      <c r="C157" s="9" t="s">
        <v>151</v>
      </c>
      <c r="D157" s="9"/>
      <c r="E157" s="10">
        <f t="shared" si="37"/>
        <v>378</v>
      </c>
      <c r="F157" s="10">
        <f t="shared" si="37"/>
        <v>0</v>
      </c>
      <c r="G157" s="10">
        <f t="shared" si="37"/>
        <v>0</v>
      </c>
    </row>
    <row r="158" spans="1:7" ht="31.5" outlineLevel="2" x14ac:dyDescent="0.25">
      <c r="A158" s="48" t="s">
        <v>76</v>
      </c>
      <c r="B158" s="9" t="s">
        <v>883</v>
      </c>
      <c r="C158" s="9" t="s">
        <v>151</v>
      </c>
      <c r="D158" s="9">
        <v>200</v>
      </c>
      <c r="E158" s="10">
        <v>378</v>
      </c>
      <c r="F158" s="10">
        <v>0</v>
      </c>
      <c r="G158" s="10">
        <v>0</v>
      </c>
    </row>
    <row r="159" spans="1:7" x14ac:dyDescent="0.25">
      <c r="A159" s="51" t="s">
        <v>48</v>
      </c>
      <c r="B159" s="18" t="s">
        <v>288</v>
      </c>
      <c r="C159" s="19"/>
      <c r="D159" s="19"/>
      <c r="E159" s="8">
        <f>E170+E186+E307+E160+E166</f>
        <v>2293968.8000000003</v>
      </c>
      <c r="F159" s="8">
        <f>F170+F186+F307+F160</f>
        <v>2940525.0999999996</v>
      </c>
      <c r="G159" s="8">
        <f>G170+G186+G307+G160</f>
        <v>1091914</v>
      </c>
    </row>
    <row r="160" spans="1:7" outlineLevel="1" x14ac:dyDescent="0.25">
      <c r="A160" s="40" t="s">
        <v>375</v>
      </c>
      <c r="B160" s="12" t="s">
        <v>376</v>
      </c>
      <c r="C160" s="12"/>
      <c r="D160" s="13"/>
      <c r="E160" s="10">
        <f>E161</f>
        <v>20296.900000000001</v>
      </c>
      <c r="F160" s="10">
        <f>F161</f>
        <v>20296.900000000001</v>
      </c>
      <c r="G160" s="10">
        <f t="shared" ref="F160:G164" si="38">G161</f>
        <v>20296.900000000001</v>
      </c>
    </row>
    <row r="161" spans="1:7" ht="47.25" outlineLevel="2" x14ac:dyDescent="0.25">
      <c r="A161" s="11" t="s">
        <v>49</v>
      </c>
      <c r="B161" s="12" t="s">
        <v>376</v>
      </c>
      <c r="C161" s="9" t="s">
        <v>50</v>
      </c>
      <c r="D161" s="13"/>
      <c r="E161" s="10">
        <f>E162</f>
        <v>20296.900000000001</v>
      </c>
      <c r="F161" s="10">
        <f t="shared" si="38"/>
        <v>20296.900000000001</v>
      </c>
      <c r="G161" s="10">
        <f t="shared" si="38"/>
        <v>20296.900000000001</v>
      </c>
    </row>
    <row r="162" spans="1:7" ht="31.5" outlineLevel="2" x14ac:dyDescent="0.25">
      <c r="A162" s="42" t="s">
        <v>154</v>
      </c>
      <c r="B162" s="12" t="s">
        <v>376</v>
      </c>
      <c r="C162" s="12" t="s">
        <v>71</v>
      </c>
      <c r="D162" s="13"/>
      <c r="E162" s="2">
        <f>E163</f>
        <v>20296.900000000001</v>
      </c>
      <c r="F162" s="2">
        <f t="shared" si="38"/>
        <v>20296.900000000001</v>
      </c>
      <c r="G162" s="2">
        <f t="shared" si="38"/>
        <v>20296.900000000001</v>
      </c>
    </row>
    <row r="163" spans="1:7" ht="47.25" outlineLevel="2" x14ac:dyDescent="0.25">
      <c r="A163" s="42" t="s">
        <v>377</v>
      </c>
      <c r="B163" s="12" t="s">
        <v>376</v>
      </c>
      <c r="C163" s="12" t="s">
        <v>378</v>
      </c>
      <c r="D163" s="13"/>
      <c r="E163" s="10">
        <f>E164</f>
        <v>20296.900000000001</v>
      </c>
      <c r="F163" s="10">
        <f t="shared" si="38"/>
        <v>20296.900000000001</v>
      </c>
      <c r="G163" s="10">
        <f t="shared" si="38"/>
        <v>20296.900000000001</v>
      </c>
    </row>
    <row r="164" spans="1:7" ht="71.25" customHeight="1" outlineLevel="2" x14ac:dyDescent="0.25">
      <c r="A164" s="38" t="s">
        <v>379</v>
      </c>
      <c r="B164" s="12" t="s">
        <v>376</v>
      </c>
      <c r="C164" s="9" t="s">
        <v>380</v>
      </c>
      <c r="D164" s="13"/>
      <c r="E164" s="10">
        <f>E165</f>
        <v>20296.900000000001</v>
      </c>
      <c r="F164" s="10">
        <f t="shared" si="38"/>
        <v>20296.900000000001</v>
      </c>
      <c r="G164" s="10">
        <f t="shared" si="38"/>
        <v>20296.900000000001</v>
      </c>
    </row>
    <row r="165" spans="1:7" ht="31.5" outlineLevel="2" x14ac:dyDescent="0.25">
      <c r="A165" s="11" t="s">
        <v>76</v>
      </c>
      <c r="B165" s="12" t="s">
        <v>376</v>
      </c>
      <c r="C165" s="9" t="s">
        <v>380</v>
      </c>
      <c r="D165" s="13">
        <v>200</v>
      </c>
      <c r="E165" s="2">
        <v>20296.900000000001</v>
      </c>
      <c r="F165" s="2">
        <v>20296.900000000001</v>
      </c>
      <c r="G165" s="2">
        <v>20296.900000000001</v>
      </c>
    </row>
    <row r="166" spans="1:7" outlineLevel="1" x14ac:dyDescent="0.25">
      <c r="A166" s="11" t="s">
        <v>636</v>
      </c>
      <c r="B166" s="9" t="s">
        <v>638</v>
      </c>
      <c r="C166" s="9"/>
      <c r="D166" s="9"/>
      <c r="E166" s="2">
        <f>+E167</f>
        <v>232.6</v>
      </c>
      <c r="F166" s="10">
        <f t="shared" ref="F166:G168" si="39">+F167</f>
        <v>0</v>
      </c>
      <c r="G166" s="10">
        <f t="shared" si="39"/>
        <v>0</v>
      </c>
    </row>
    <row r="167" spans="1:7" outlineLevel="2" x14ac:dyDescent="0.25">
      <c r="A167" s="42" t="s">
        <v>9</v>
      </c>
      <c r="B167" s="9" t="s">
        <v>638</v>
      </c>
      <c r="C167" s="9" t="s">
        <v>10</v>
      </c>
      <c r="D167" s="9"/>
      <c r="E167" s="2">
        <f>+E168</f>
        <v>232.6</v>
      </c>
      <c r="F167" s="10">
        <f t="shared" si="39"/>
        <v>0</v>
      </c>
      <c r="G167" s="10">
        <f t="shared" si="39"/>
        <v>0</v>
      </c>
    </row>
    <row r="168" spans="1:7" ht="94.5" outlineLevel="2" x14ac:dyDescent="0.25">
      <c r="A168" s="11" t="s">
        <v>637</v>
      </c>
      <c r="B168" s="9" t="s">
        <v>638</v>
      </c>
      <c r="C168" s="9" t="s">
        <v>639</v>
      </c>
      <c r="D168" s="9"/>
      <c r="E168" s="2">
        <f>+E169</f>
        <v>232.6</v>
      </c>
      <c r="F168" s="2">
        <f t="shared" si="39"/>
        <v>0</v>
      </c>
      <c r="G168" s="2">
        <f t="shared" si="39"/>
        <v>0</v>
      </c>
    </row>
    <row r="169" spans="1:7" ht="47.25" outlineLevel="2" x14ac:dyDescent="0.25">
      <c r="A169" s="43" t="s">
        <v>308</v>
      </c>
      <c r="B169" s="9" t="s">
        <v>638</v>
      </c>
      <c r="C169" s="9" t="s">
        <v>639</v>
      </c>
      <c r="D169" s="9" t="s">
        <v>461</v>
      </c>
      <c r="E169" s="2">
        <v>232.6</v>
      </c>
      <c r="F169" s="10">
        <v>0</v>
      </c>
      <c r="G169" s="10">
        <v>0</v>
      </c>
    </row>
    <row r="170" spans="1:7" outlineLevel="1" x14ac:dyDescent="0.25">
      <c r="A170" s="48" t="s">
        <v>289</v>
      </c>
      <c r="B170" s="12" t="s">
        <v>290</v>
      </c>
      <c r="C170" s="18"/>
      <c r="D170" s="1"/>
      <c r="E170" s="2">
        <f>E171</f>
        <v>199542.7</v>
      </c>
      <c r="F170" s="10">
        <f t="shared" ref="F170:G176" si="40">F171</f>
        <v>338311</v>
      </c>
      <c r="G170" s="10">
        <f t="shared" si="40"/>
        <v>454181.80000000005</v>
      </c>
    </row>
    <row r="171" spans="1:7" ht="31.5" outlineLevel="2" x14ac:dyDescent="0.25">
      <c r="A171" s="48" t="s">
        <v>291</v>
      </c>
      <c r="B171" s="12" t="s">
        <v>290</v>
      </c>
      <c r="C171" s="12" t="s">
        <v>292</v>
      </c>
      <c r="D171" s="13"/>
      <c r="E171" s="2">
        <f>E176+E172</f>
        <v>199542.7</v>
      </c>
      <c r="F171" s="2">
        <f t="shared" ref="F171:G171" si="41">F176+F172</f>
        <v>338311</v>
      </c>
      <c r="G171" s="2">
        <f t="shared" si="41"/>
        <v>454181.80000000005</v>
      </c>
    </row>
    <row r="172" spans="1:7" ht="31.5" outlineLevel="2" x14ac:dyDescent="0.25">
      <c r="A172" s="42" t="s">
        <v>154</v>
      </c>
      <c r="B172" s="9" t="s">
        <v>290</v>
      </c>
      <c r="C172" s="9" t="s">
        <v>304</v>
      </c>
      <c r="D172" s="13"/>
      <c r="E172" s="2">
        <f>E173</f>
        <v>0</v>
      </c>
      <c r="F172" s="2">
        <f t="shared" ref="F172:G173" si="42">F173</f>
        <v>289777.90000000002</v>
      </c>
      <c r="G172" s="2">
        <f t="shared" si="42"/>
        <v>384777.9</v>
      </c>
    </row>
    <row r="173" spans="1:7" ht="47.25" outlineLevel="2" x14ac:dyDescent="0.25">
      <c r="A173" s="11" t="s">
        <v>837</v>
      </c>
      <c r="B173" s="9" t="s">
        <v>290</v>
      </c>
      <c r="C173" s="9" t="s">
        <v>838</v>
      </c>
      <c r="D173" s="13"/>
      <c r="E173" s="2">
        <f>E174</f>
        <v>0</v>
      </c>
      <c r="F173" s="2">
        <f t="shared" si="42"/>
        <v>289777.90000000002</v>
      </c>
      <c r="G173" s="2">
        <f t="shared" si="42"/>
        <v>384777.9</v>
      </c>
    </row>
    <row r="174" spans="1:7" ht="63" outlineLevel="2" x14ac:dyDescent="0.25">
      <c r="A174" s="11" t="s">
        <v>821</v>
      </c>
      <c r="B174" s="9" t="s">
        <v>290</v>
      </c>
      <c r="C174" s="9" t="s">
        <v>836</v>
      </c>
      <c r="D174" s="9"/>
      <c r="E174" s="10">
        <f>+E175</f>
        <v>0</v>
      </c>
      <c r="F174" s="10">
        <f t="shared" ref="F174:G174" si="43">+F175</f>
        <v>289777.90000000002</v>
      </c>
      <c r="G174" s="10">
        <f t="shared" si="43"/>
        <v>384777.9</v>
      </c>
    </row>
    <row r="175" spans="1:7" ht="31.5" outlineLevel="2" x14ac:dyDescent="0.25">
      <c r="A175" s="11" t="s">
        <v>76</v>
      </c>
      <c r="B175" s="9" t="s">
        <v>290</v>
      </c>
      <c r="C175" s="9" t="s">
        <v>836</v>
      </c>
      <c r="D175" s="9" t="s">
        <v>39</v>
      </c>
      <c r="E175" s="10">
        <v>0</v>
      </c>
      <c r="F175" s="10">
        <v>289777.90000000002</v>
      </c>
      <c r="G175" s="10">
        <v>384777.9</v>
      </c>
    </row>
    <row r="176" spans="1:7" outlineLevel="2" x14ac:dyDescent="0.25">
      <c r="A176" s="47" t="s">
        <v>144</v>
      </c>
      <c r="B176" s="16" t="s">
        <v>290</v>
      </c>
      <c r="C176" s="16" t="s">
        <v>293</v>
      </c>
      <c r="D176" s="13"/>
      <c r="E176" s="10">
        <f>E177</f>
        <v>199542.7</v>
      </c>
      <c r="F176" s="10">
        <f t="shared" si="40"/>
        <v>48533.099999999991</v>
      </c>
      <c r="G176" s="10">
        <f t="shared" si="40"/>
        <v>69403.900000000009</v>
      </c>
    </row>
    <row r="177" spans="1:7" ht="78.75" outlineLevel="2" x14ac:dyDescent="0.25">
      <c r="A177" s="48" t="s">
        <v>489</v>
      </c>
      <c r="B177" s="12" t="s">
        <v>290</v>
      </c>
      <c r="C177" s="12" t="s">
        <v>294</v>
      </c>
      <c r="D177" s="13"/>
      <c r="E177" s="10">
        <f>E178+E180+E182+E184</f>
        <v>199542.7</v>
      </c>
      <c r="F177" s="10">
        <f t="shared" ref="F177:G177" si="44">F178+F180+F182+F184</f>
        <v>48533.099999999991</v>
      </c>
      <c r="G177" s="10">
        <f t="shared" si="44"/>
        <v>69403.900000000009</v>
      </c>
    </row>
    <row r="178" spans="1:7" ht="78.75" outlineLevel="2" x14ac:dyDescent="0.25">
      <c r="A178" s="11" t="s">
        <v>295</v>
      </c>
      <c r="B178" s="12" t="s">
        <v>290</v>
      </c>
      <c r="C178" s="12" t="s">
        <v>296</v>
      </c>
      <c r="D178" s="13"/>
      <c r="E178" s="2">
        <f>E179</f>
        <v>0.1</v>
      </c>
      <c r="F178" s="2">
        <f t="shared" ref="F178:G178" si="45">F179</f>
        <v>0.1</v>
      </c>
      <c r="G178" s="2">
        <f t="shared" si="45"/>
        <v>0.1</v>
      </c>
    </row>
    <row r="179" spans="1:7" ht="31.5" outlineLevel="2" x14ac:dyDescent="0.25">
      <c r="A179" s="11" t="s">
        <v>76</v>
      </c>
      <c r="B179" s="12" t="s">
        <v>290</v>
      </c>
      <c r="C179" s="12" t="s">
        <v>296</v>
      </c>
      <c r="D179" s="13">
        <v>200</v>
      </c>
      <c r="E179" s="10">
        <v>0.1</v>
      </c>
      <c r="F179" s="10">
        <v>0.1</v>
      </c>
      <c r="G179" s="10">
        <v>0.1</v>
      </c>
    </row>
    <row r="180" spans="1:7" ht="63" outlineLevel="2" x14ac:dyDescent="0.25">
      <c r="A180" s="48" t="s">
        <v>297</v>
      </c>
      <c r="B180" s="12" t="s">
        <v>290</v>
      </c>
      <c r="C180" s="12" t="s">
        <v>298</v>
      </c>
      <c r="D180" s="13"/>
      <c r="E180" s="10">
        <f>E181</f>
        <v>91442.599999999991</v>
      </c>
      <c r="F180" s="10">
        <f t="shared" ref="F180:G180" si="46">F181</f>
        <v>47840.999999999993</v>
      </c>
      <c r="G180" s="10">
        <f t="shared" si="46"/>
        <v>68684.100000000006</v>
      </c>
    </row>
    <row r="181" spans="1:7" outlineLevel="2" x14ac:dyDescent="0.25">
      <c r="A181" s="52" t="s">
        <v>33</v>
      </c>
      <c r="B181" s="12" t="s">
        <v>290</v>
      </c>
      <c r="C181" s="12" t="s">
        <v>298</v>
      </c>
      <c r="D181" s="13">
        <v>800</v>
      </c>
      <c r="E181" s="2">
        <f>91442.7-0.1</f>
        <v>91442.599999999991</v>
      </c>
      <c r="F181" s="2">
        <v>47840.999999999993</v>
      </c>
      <c r="G181" s="2">
        <v>68684.100000000006</v>
      </c>
    </row>
    <row r="182" spans="1:7" ht="119.25" customHeight="1" outlineLevel="2" x14ac:dyDescent="0.25">
      <c r="A182" s="52" t="s">
        <v>299</v>
      </c>
      <c r="B182" s="12" t="s">
        <v>290</v>
      </c>
      <c r="C182" s="12" t="s">
        <v>300</v>
      </c>
      <c r="D182" s="13"/>
      <c r="E182" s="10">
        <f>E183</f>
        <v>0</v>
      </c>
      <c r="F182" s="10">
        <f t="shared" ref="F182:G182" si="47">F183</f>
        <v>692</v>
      </c>
      <c r="G182" s="10">
        <f t="shared" si="47"/>
        <v>719.7</v>
      </c>
    </row>
    <row r="183" spans="1:7" outlineLevel="2" x14ac:dyDescent="0.25">
      <c r="A183" s="52" t="s">
        <v>33</v>
      </c>
      <c r="B183" s="12" t="s">
        <v>290</v>
      </c>
      <c r="C183" s="12" t="s">
        <v>300</v>
      </c>
      <c r="D183" s="13">
        <v>800</v>
      </c>
      <c r="E183" s="10">
        <v>0</v>
      </c>
      <c r="F183" s="10">
        <v>692</v>
      </c>
      <c r="G183" s="10">
        <v>719.7</v>
      </c>
    </row>
    <row r="184" spans="1:7" ht="100.5" customHeight="1" outlineLevel="2" x14ac:dyDescent="0.25">
      <c r="A184" s="43" t="s">
        <v>587</v>
      </c>
      <c r="B184" s="9" t="s">
        <v>290</v>
      </c>
      <c r="C184" s="9" t="s">
        <v>588</v>
      </c>
      <c r="D184" s="9"/>
      <c r="E184" s="2">
        <f>E185</f>
        <v>108100</v>
      </c>
      <c r="F184" s="2">
        <f t="shared" ref="F184:G184" si="48">F185</f>
        <v>0</v>
      </c>
      <c r="G184" s="2">
        <f t="shared" si="48"/>
        <v>0</v>
      </c>
    </row>
    <row r="185" spans="1:7" outlineLevel="2" x14ac:dyDescent="0.25">
      <c r="A185" s="43" t="s">
        <v>33</v>
      </c>
      <c r="B185" s="9" t="s">
        <v>290</v>
      </c>
      <c r="C185" s="9" t="s">
        <v>588</v>
      </c>
      <c r="D185" s="9">
        <v>800</v>
      </c>
      <c r="E185" s="10">
        <v>108100</v>
      </c>
      <c r="F185" s="10">
        <v>0</v>
      </c>
      <c r="G185" s="10">
        <v>0</v>
      </c>
    </row>
    <row r="186" spans="1:7" outlineLevel="1" x14ac:dyDescent="0.25">
      <c r="A186" s="48" t="s">
        <v>301</v>
      </c>
      <c r="B186" s="12" t="s">
        <v>302</v>
      </c>
      <c r="C186" s="12"/>
      <c r="D186" s="13"/>
      <c r="E186" s="10">
        <f>E191+E302+E187</f>
        <v>2042492.2000000002</v>
      </c>
      <c r="F186" s="10">
        <f>F191+F302+F187</f>
        <v>2569755.9</v>
      </c>
      <c r="G186" s="10">
        <f>G191+G302+G187</f>
        <v>605251.80000000005</v>
      </c>
    </row>
    <row r="187" spans="1:7" outlineLevel="2" x14ac:dyDescent="0.25">
      <c r="A187" s="53" t="s">
        <v>9</v>
      </c>
      <c r="B187" s="33" t="s">
        <v>302</v>
      </c>
      <c r="C187" s="9" t="s">
        <v>10</v>
      </c>
      <c r="D187" s="33"/>
      <c r="E187" s="10">
        <f>+E188</f>
        <v>15125.3</v>
      </c>
      <c r="F187" s="10">
        <f t="shared" ref="F187:G187" si="49">+F188</f>
        <v>0</v>
      </c>
      <c r="G187" s="10">
        <f t="shared" si="49"/>
        <v>0</v>
      </c>
    </row>
    <row r="188" spans="1:7" ht="31.5" outlineLevel="2" x14ac:dyDescent="0.25">
      <c r="A188" s="75" t="s">
        <v>65</v>
      </c>
      <c r="B188" s="76" t="s">
        <v>302</v>
      </c>
      <c r="C188" s="77" t="s">
        <v>66</v>
      </c>
      <c r="D188" s="78"/>
      <c r="E188" s="10">
        <f>E189+E190</f>
        <v>15125.3</v>
      </c>
      <c r="F188" s="10">
        <f>+F190</f>
        <v>0</v>
      </c>
      <c r="G188" s="10">
        <f>+G190</f>
        <v>0</v>
      </c>
    </row>
    <row r="189" spans="1:7" ht="31.5" outlineLevel="2" x14ac:dyDescent="0.25">
      <c r="A189" s="79" t="s">
        <v>76</v>
      </c>
      <c r="B189" s="76" t="s">
        <v>302</v>
      </c>
      <c r="C189" s="76" t="s">
        <v>66</v>
      </c>
      <c r="D189" s="76" t="s">
        <v>39</v>
      </c>
      <c r="E189" s="90">
        <v>4205.8</v>
      </c>
      <c r="F189" s="10"/>
      <c r="G189" s="10"/>
    </row>
    <row r="190" spans="1:7" ht="47.25" outlineLevel="2" x14ac:dyDescent="0.25">
      <c r="A190" s="75" t="s">
        <v>94</v>
      </c>
      <c r="B190" s="76" t="s">
        <v>302</v>
      </c>
      <c r="C190" s="77" t="s">
        <v>66</v>
      </c>
      <c r="D190" s="76" t="s">
        <v>95</v>
      </c>
      <c r="E190" s="90">
        <v>10919.5</v>
      </c>
      <c r="F190" s="10">
        <v>0</v>
      </c>
      <c r="G190" s="10">
        <v>0</v>
      </c>
    </row>
    <row r="191" spans="1:7" ht="31.5" outlineLevel="2" x14ac:dyDescent="0.25">
      <c r="A191" s="48" t="s">
        <v>291</v>
      </c>
      <c r="B191" s="12" t="s">
        <v>302</v>
      </c>
      <c r="C191" s="12" t="s">
        <v>292</v>
      </c>
      <c r="D191" s="13"/>
      <c r="E191" s="2">
        <f>E192+E254+E296</f>
        <v>2027034.3</v>
      </c>
      <c r="F191" s="2">
        <f>F192+F254+F296</f>
        <v>2569755.9</v>
      </c>
      <c r="G191" s="2">
        <f>G192+G254+G296</f>
        <v>605251.80000000005</v>
      </c>
    </row>
    <row r="192" spans="1:7" outlineLevel="2" x14ac:dyDescent="0.25">
      <c r="A192" s="48" t="s">
        <v>227</v>
      </c>
      <c r="B192" s="12" t="s">
        <v>302</v>
      </c>
      <c r="C192" s="12" t="s">
        <v>303</v>
      </c>
      <c r="D192" s="13"/>
      <c r="E192" s="10">
        <f>+E193</f>
        <v>905464.7</v>
      </c>
      <c r="F192" s="10">
        <f t="shared" ref="F192:G192" si="50">+F193</f>
        <v>1905170.3</v>
      </c>
      <c r="G192" s="10">
        <f t="shared" si="50"/>
        <v>5</v>
      </c>
    </row>
    <row r="193" spans="1:7" ht="31.5" outlineLevel="2" x14ac:dyDescent="0.25">
      <c r="A193" s="42" t="s">
        <v>562</v>
      </c>
      <c r="B193" s="9" t="s">
        <v>302</v>
      </c>
      <c r="C193" s="9" t="s">
        <v>563</v>
      </c>
      <c r="D193" s="9"/>
      <c r="E193" s="10">
        <f>E196+E198+E200+E202+E204+E206+E208+E210+E216+E212+E214+E218+E220+E222+E224+E226+E228+E230+E232+E240+E234+E194</f>
        <v>905464.7</v>
      </c>
      <c r="F193" s="10">
        <f>F196+F198+F200+F202+F204+F206+F208+F210+F216+F212+F214+F218+F220+F222+F224+F226+F228+F230+F232+F240+F234+F194+F236+F238+F242+F244+F246+F248+F250+F252</f>
        <v>1905170.3</v>
      </c>
      <c r="G193" s="10">
        <f t="shared" ref="G193" si="51">G196+G198+G200+G202+G204+G206+G208+G210+G216+G212+G214+G218+G220+G222+G224+G226+G228+G230+G232+G240+G234+G194</f>
        <v>5</v>
      </c>
    </row>
    <row r="194" spans="1:7" ht="47.25" outlineLevel="2" x14ac:dyDescent="0.25">
      <c r="A194" s="55" t="s">
        <v>876</v>
      </c>
      <c r="B194" s="33" t="s">
        <v>302</v>
      </c>
      <c r="C194" s="20" t="s">
        <v>877</v>
      </c>
      <c r="D194" s="33"/>
      <c r="E194" s="10">
        <f>+E195</f>
        <v>16814.7</v>
      </c>
      <c r="F194" s="10">
        <f t="shared" ref="F194:G194" si="52">+F195</f>
        <v>0</v>
      </c>
      <c r="G194" s="10">
        <f t="shared" si="52"/>
        <v>0</v>
      </c>
    </row>
    <row r="195" spans="1:7" ht="31.5" outlineLevel="2" x14ac:dyDescent="0.25">
      <c r="A195" s="53" t="s">
        <v>76</v>
      </c>
      <c r="B195" s="33" t="s">
        <v>302</v>
      </c>
      <c r="C195" s="20" t="s">
        <v>877</v>
      </c>
      <c r="D195" s="33" t="s">
        <v>39</v>
      </c>
      <c r="E195" s="10">
        <v>16814.7</v>
      </c>
      <c r="F195" s="10">
        <v>0</v>
      </c>
      <c r="G195" s="10">
        <v>0</v>
      </c>
    </row>
    <row r="196" spans="1:7" ht="78.75" outlineLevel="2" x14ac:dyDescent="0.25">
      <c r="A196" s="56" t="s">
        <v>642</v>
      </c>
      <c r="B196" s="9" t="s">
        <v>302</v>
      </c>
      <c r="C196" s="20" t="s">
        <v>643</v>
      </c>
      <c r="D196" s="9"/>
      <c r="E196" s="10">
        <f>+E197</f>
        <v>31678.799999999999</v>
      </c>
      <c r="F196" s="10">
        <f t="shared" ref="F196:G196" si="53">+F197</f>
        <v>0</v>
      </c>
      <c r="G196" s="10">
        <f t="shared" si="53"/>
        <v>0</v>
      </c>
    </row>
    <row r="197" spans="1:7" ht="31.5" outlineLevel="2" x14ac:dyDescent="0.25">
      <c r="A197" s="42" t="s">
        <v>76</v>
      </c>
      <c r="B197" s="9" t="s">
        <v>302</v>
      </c>
      <c r="C197" s="20" t="s">
        <v>643</v>
      </c>
      <c r="D197" s="9" t="s">
        <v>39</v>
      </c>
      <c r="E197" s="2">
        <v>31678.799999999999</v>
      </c>
      <c r="F197" s="2">
        <v>0</v>
      </c>
      <c r="G197" s="2">
        <v>0</v>
      </c>
    </row>
    <row r="198" spans="1:7" ht="78.75" outlineLevel="2" x14ac:dyDescent="0.25">
      <c r="A198" s="56" t="s">
        <v>644</v>
      </c>
      <c r="B198" s="9" t="s">
        <v>302</v>
      </c>
      <c r="C198" s="20" t="s">
        <v>647</v>
      </c>
      <c r="D198" s="9"/>
      <c r="E198" s="10">
        <f t="shared" ref="E198:G198" si="54">E199</f>
        <v>49849.2</v>
      </c>
      <c r="F198" s="10">
        <f t="shared" si="54"/>
        <v>0</v>
      </c>
      <c r="G198" s="10">
        <f t="shared" si="54"/>
        <v>0</v>
      </c>
    </row>
    <row r="199" spans="1:7" ht="31.5" outlineLevel="2" x14ac:dyDescent="0.25">
      <c r="A199" s="42" t="s">
        <v>76</v>
      </c>
      <c r="B199" s="9" t="s">
        <v>302</v>
      </c>
      <c r="C199" s="20" t="s">
        <v>647</v>
      </c>
      <c r="D199" s="9" t="s">
        <v>39</v>
      </c>
      <c r="E199" s="10">
        <v>49849.2</v>
      </c>
      <c r="F199" s="10">
        <v>0</v>
      </c>
      <c r="G199" s="10">
        <v>0</v>
      </c>
    </row>
    <row r="200" spans="1:7" ht="78.75" outlineLevel="2" x14ac:dyDescent="0.25">
      <c r="A200" s="56" t="s">
        <v>645</v>
      </c>
      <c r="B200" s="9" t="s">
        <v>302</v>
      </c>
      <c r="C200" s="20" t="s">
        <v>648</v>
      </c>
      <c r="D200" s="9"/>
      <c r="E200" s="2">
        <f t="shared" ref="E200:G200" si="55">E201</f>
        <v>73740.399999999994</v>
      </c>
      <c r="F200" s="2">
        <f t="shared" si="55"/>
        <v>0</v>
      </c>
      <c r="G200" s="2">
        <f t="shared" si="55"/>
        <v>0</v>
      </c>
    </row>
    <row r="201" spans="1:7" ht="31.5" outlineLevel="2" x14ac:dyDescent="0.25">
      <c r="A201" s="42" t="s">
        <v>76</v>
      </c>
      <c r="B201" s="9" t="s">
        <v>302</v>
      </c>
      <c r="C201" s="20" t="s">
        <v>648</v>
      </c>
      <c r="D201" s="9" t="s">
        <v>39</v>
      </c>
      <c r="E201" s="10">
        <v>73740.399999999994</v>
      </c>
      <c r="F201" s="10">
        <v>0</v>
      </c>
      <c r="G201" s="10">
        <v>0</v>
      </c>
    </row>
    <row r="202" spans="1:7" ht="78.75" outlineLevel="2" x14ac:dyDescent="0.25">
      <c r="A202" s="56" t="s">
        <v>646</v>
      </c>
      <c r="B202" s="9" t="s">
        <v>302</v>
      </c>
      <c r="C202" s="20" t="s">
        <v>649</v>
      </c>
      <c r="D202" s="9"/>
      <c r="E202" s="10">
        <f t="shared" ref="E202:G202" si="56">E203</f>
        <v>0</v>
      </c>
      <c r="F202" s="10">
        <f t="shared" si="56"/>
        <v>55666.400000000001</v>
      </c>
      <c r="G202" s="10">
        <f t="shared" si="56"/>
        <v>0</v>
      </c>
    </row>
    <row r="203" spans="1:7" ht="31.5" outlineLevel="2" x14ac:dyDescent="0.25">
      <c r="A203" s="42" t="s">
        <v>76</v>
      </c>
      <c r="B203" s="9" t="s">
        <v>302</v>
      </c>
      <c r="C203" s="20" t="s">
        <v>649</v>
      </c>
      <c r="D203" s="9" t="s">
        <v>39</v>
      </c>
      <c r="E203" s="2">
        <v>0</v>
      </c>
      <c r="F203" s="2">
        <v>55666.400000000001</v>
      </c>
      <c r="G203" s="2">
        <v>0</v>
      </c>
    </row>
    <row r="204" spans="1:7" ht="78.75" outlineLevel="2" x14ac:dyDescent="0.25">
      <c r="A204" s="56" t="s">
        <v>650</v>
      </c>
      <c r="B204" s="9" t="s">
        <v>302</v>
      </c>
      <c r="C204" s="20" t="s">
        <v>653</v>
      </c>
      <c r="D204" s="9"/>
      <c r="E204" s="10">
        <f t="shared" ref="E204:G204" si="57">E205</f>
        <v>0</v>
      </c>
      <c r="F204" s="10">
        <f t="shared" si="57"/>
        <v>20767.599999999999</v>
      </c>
      <c r="G204" s="10">
        <f t="shared" si="57"/>
        <v>0</v>
      </c>
    </row>
    <row r="205" spans="1:7" ht="31.5" outlineLevel="2" x14ac:dyDescent="0.25">
      <c r="A205" s="42" t="s">
        <v>76</v>
      </c>
      <c r="B205" s="9" t="s">
        <v>302</v>
      </c>
      <c r="C205" s="20" t="s">
        <v>653</v>
      </c>
      <c r="D205" s="9" t="s">
        <v>39</v>
      </c>
      <c r="E205" s="10">
        <v>0</v>
      </c>
      <c r="F205" s="10">
        <v>20767.599999999999</v>
      </c>
      <c r="G205" s="10">
        <v>0</v>
      </c>
    </row>
    <row r="206" spans="1:7" ht="78.75" outlineLevel="2" x14ac:dyDescent="0.25">
      <c r="A206" s="56" t="s">
        <v>651</v>
      </c>
      <c r="B206" s="9" t="s">
        <v>302</v>
      </c>
      <c r="C206" s="20" t="s">
        <v>654</v>
      </c>
      <c r="D206" s="9"/>
      <c r="E206" s="2">
        <f t="shared" ref="E206:G206" si="58">E207</f>
        <v>4209.7999999999993</v>
      </c>
      <c r="F206" s="2">
        <f t="shared" si="58"/>
        <v>17513.400000000001</v>
      </c>
      <c r="G206" s="2">
        <f t="shared" si="58"/>
        <v>0</v>
      </c>
    </row>
    <row r="207" spans="1:7" ht="31.5" outlineLevel="2" x14ac:dyDescent="0.25">
      <c r="A207" s="42" t="s">
        <v>76</v>
      </c>
      <c r="B207" s="9" t="s">
        <v>302</v>
      </c>
      <c r="C207" s="20" t="s">
        <v>654</v>
      </c>
      <c r="D207" s="9" t="s">
        <v>39</v>
      </c>
      <c r="E207" s="10">
        <v>4209.7999999999993</v>
      </c>
      <c r="F207" s="10">
        <v>17513.400000000001</v>
      </c>
      <c r="G207" s="10">
        <v>0</v>
      </c>
    </row>
    <row r="208" spans="1:7" ht="78.75" outlineLevel="2" x14ac:dyDescent="0.25">
      <c r="A208" s="56" t="s">
        <v>652</v>
      </c>
      <c r="B208" s="9" t="s">
        <v>302</v>
      </c>
      <c r="C208" s="20" t="s">
        <v>655</v>
      </c>
      <c r="D208" s="9"/>
      <c r="E208" s="10">
        <f t="shared" ref="E208:G208" si="59">E209</f>
        <v>43293.599999999999</v>
      </c>
      <c r="F208" s="10">
        <f t="shared" si="59"/>
        <v>0</v>
      </c>
      <c r="G208" s="10">
        <f t="shared" si="59"/>
        <v>0</v>
      </c>
    </row>
    <row r="209" spans="1:7" ht="31.5" outlineLevel="2" x14ac:dyDescent="0.25">
      <c r="A209" s="42" t="s">
        <v>76</v>
      </c>
      <c r="B209" s="9" t="s">
        <v>302</v>
      </c>
      <c r="C209" s="20" t="s">
        <v>655</v>
      </c>
      <c r="D209" s="9" t="s">
        <v>39</v>
      </c>
      <c r="E209" s="2">
        <v>43293.599999999999</v>
      </c>
      <c r="F209" s="2">
        <v>0</v>
      </c>
      <c r="G209" s="2">
        <v>0</v>
      </c>
    </row>
    <row r="210" spans="1:7" ht="78.75" outlineLevel="2" x14ac:dyDescent="0.25">
      <c r="A210" s="56" t="s">
        <v>656</v>
      </c>
      <c r="B210" s="9" t="s">
        <v>302</v>
      </c>
      <c r="C210" s="20" t="s">
        <v>658</v>
      </c>
      <c r="D210" s="9"/>
      <c r="E210" s="10">
        <f t="shared" ref="E210:G210" si="60">E211</f>
        <v>58037.5</v>
      </c>
      <c r="F210" s="10">
        <f t="shared" si="60"/>
        <v>0</v>
      </c>
      <c r="G210" s="10">
        <f t="shared" si="60"/>
        <v>0</v>
      </c>
    </row>
    <row r="211" spans="1:7" ht="31.5" outlineLevel="2" x14ac:dyDescent="0.25">
      <c r="A211" s="42" t="s">
        <v>76</v>
      </c>
      <c r="B211" s="9" t="s">
        <v>302</v>
      </c>
      <c r="C211" s="20" t="s">
        <v>658</v>
      </c>
      <c r="D211" s="9" t="s">
        <v>39</v>
      </c>
      <c r="E211" s="10">
        <v>58037.5</v>
      </c>
      <c r="F211" s="10">
        <v>0</v>
      </c>
      <c r="G211" s="10">
        <v>0</v>
      </c>
    </row>
    <row r="212" spans="1:7" ht="78.75" outlineLevel="2" x14ac:dyDescent="0.25">
      <c r="A212" s="56" t="s">
        <v>657</v>
      </c>
      <c r="B212" s="9" t="s">
        <v>302</v>
      </c>
      <c r="C212" s="20" t="s">
        <v>659</v>
      </c>
      <c r="D212" s="9"/>
      <c r="E212" s="2">
        <f t="shared" ref="E212:G212" si="61">E213</f>
        <v>47617.2</v>
      </c>
      <c r="F212" s="2">
        <f t="shared" si="61"/>
        <v>0</v>
      </c>
      <c r="G212" s="2">
        <f t="shared" si="61"/>
        <v>0</v>
      </c>
    </row>
    <row r="213" spans="1:7" ht="31.5" outlineLevel="2" x14ac:dyDescent="0.25">
      <c r="A213" s="42" t="s">
        <v>76</v>
      </c>
      <c r="B213" s="9" t="s">
        <v>302</v>
      </c>
      <c r="C213" s="20" t="s">
        <v>659</v>
      </c>
      <c r="D213" s="9" t="s">
        <v>39</v>
      </c>
      <c r="E213" s="10">
        <v>47617.2</v>
      </c>
      <c r="F213" s="10">
        <v>0</v>
      </c>
      <c r="G213" s="10">
        <v>0</v>
      </c>
    </row>
    <row r="214" spans="1:7" ht="78.75" outlineLevel="2" x14ac:dyDescent="0.25">
      <c r="A214" s="56" t="s">
        <v>660</v>
      </c>
      <c r="B214" s="9" t="s">
        <v>302</v>
      </c>
      <c r="C214" s="20" t="s">
        <v>664</v>
      </c>
      <c r="D214" s="9"/>
      <c r="E214" s="10">
        <f t="shared" ref="E214:G214" si="62">E215</f>
        <v>47295.6</v>
      </c>
      <c r="F214" s="10">
        <f t="shared" si="62"/>
        <v>0</v>
      </c>
      <c r="G214" s="10">
        <f t="shared" si="62"/>
        <v>0</v>
      </c>
    </row>
    <row r="215" spans="1:7" ht="31.5" outlineLevel="2" x14ac:dyDescent="0.25">
      <c r="A215" s="42" t="s">
        <v>76</v>
      </c>
      <c r="B215" s="9" t="s">
        <v>302</v>
      </c>
      <c r="C215" s="20" t="s">
        <v>664</v>
      </c>
      <c r="D215" s="9" t="s">
        <v>39</v>
      </c>
      <c r="E215" s="2">
        <v>47295.6</v>
      </c>
      <c r="F215" s="2">
        <v>0</v>
      </c>
      <c r="G215" s="2">
        <v>0</v>
      </c>
    </row>
    <row r="216" spans="1:7" ht="78.75" outlineLevel="2" x14ac:dyDescent="0.25">
      <c r="A216" s="56" t="s">
        <v>661</v>
      </c>
      <c r="B216" s="9" t="s">
        <v>302</v>
      </c>
      <c r="C216" s="20" t="s">
        <v>665</v>
      </c>
      <c r="D216" s="9"/>
      <c r="E216" s="10">
        <f t="shared" ref="E216:G216" si="63">E217</f>
        <v>45449.899999999994</v>
      </c>
      <c r="F216" s="10">
        <f t="shared" si="63"/>
        <v>0</v>
      </c>
      <c r="G216" s="10">
        <f t="shared" si="63"/>
        <v>0</v>
      </c>
    </row>
    <row r="217" spans="1:7" ht="31.5" outlineLevel="2" x14ac:dyDescent="0.25">
      <c r="A217" s="42" t="s">
        <v>76</v>
      </c>
      <c r="B217" s="9" t="s">
        <v>302</v>
      </c>
      <c r="C217" s="20" t="s">
        <v>665</v>
      </c>
      <c r="D217" s="9" t="s">
        <v>39</v>
      </c>
      <c r="E217" s="10">
        <v>45449.899999999994</v>
      </c>
      <c r="F217" s="10">
        <v>0</v>
      </c>
      <c r="G217" s="10">
        <v>0</v>
      </c>
    </row>
    <row r="218" spans="1:7" ht="78.75" outlineLevel="2" x14ac:dyDescent="0.25">
      <c r="A218" s="56" t="s">
        <v>662</v>
      </c>
      <c r="B218" s="9" t="s">
        <v>302</v>
      </c>
      <c r="C218" s="20" t="s">
        <v>666</v>
      </c>
      <c r="D218" s="9"/>
      <c r="E218" s="2">
        <f t="shared" ref="E218:G218" si="64">E219</f>
        <v>95571.5</v>
      </c>
      <c r="F218" s="2">
        <f t="shared" si="64"/>
        <v>4530.8999999999996</v>
      </c>
      <c r="G218" s="2">
        <f t="shared" si="64"/>
        <v>0</v>
      </c>
    </row>
    <row r="219" spans="1:7" ht="31.5" outlineLevel="2" x14ac:dyDescent="0.25">
      <c r="A219" s="42" t="s">
        <v>76</v>
      </c>
      <c r="B219" s="9" t="s">
        <v>302</v>
      </c>
      <c r="C219" s="20" t="s">
        <v>666</v>
      </c>
      <c r="D219" s="9" t="s">
        <v>39</v>
      </c>
      <c r="E219" s="10">
        <v>95571.5</v>
      </c>
      <c r="F219" s="10">
        <v>4530.8999999999996</v>
      </c>
      <c r="G219" s="10">
        <v>0</v>
      </c>
    </row>
    <row r="220" spans="1:7" ht="78.75" outlineLevel="2" x14ac:dyDescent="0.25">
      <c r="A220" s="56" t="s">
        <v>663</v>
      </c>
      <c r="B220" s="9" t="s">
        <v>302</v>
      </c>
      <c r="C220" s="20" t="s">
        <v>667</v>
      </c>
      <c r="D220" s="9"/>
      <c r="E220" s="10">
        <f t="shared" ref="E220:G220" si="65">E221</f>
        <v>89754.2</v>
      </c>
      <c r="F220" s="10">
        <f t="shared" si="65"/>
        <v>0</v>
      </c>
      <c r="G220" s="10">
        <f t="shared" si="65"/>
        <v>0</v>
      </c>
    </row>
    <row r="221" spans="1:7" ht="31.5" outlineLevel="2" x14ac:dyDescent="0.25">
      <c r="A221" s="42" t="s">
        <v>76</v>
      </c>
      <c r="B221" s="9" t="s">
        <v>302</v>
      </c>
      <c r="C221" s="20" t="s">
        <v>667</v>
      </c>
      <c r="D221" s="9" t="s">
        <v>39</v>
      </c>
      <c r="E221" s="2">
        <v>89754.2</v>
      </c>
      <c r="F221" s="2">
        <v>0</v>
      </c>
      <c r="G221" s="2">
        <v>0</v>
      </c>
    </row>
    <row r="222" spans="1:7" ht="78.75" outlineLevel="2" x14ac:dyDescent="0.25">
      <c r="A222" s="56" t="s">
        <v>668</v>
      </c>
      <c r="B222" s="9" t="s">
        <v>302</v>
      </c>
      <c r="C222" s="20" t="s">
        <v>669</v>
      </c>
      <c r="D222" s="9"/>
      <c r="E222" s="10">
        <f t="shared" ref="E222:G222" si="66">E223</f>
        <v>0</v>
      </c>
      <c r="F222" s="10">
        <f t="shared" si="66"/>
        <v>209908.2</v>
      </c>
      <c r="G222" s="10">
        <f t="shared" si="66"/>
        <v>0</v>
      </c>
    </row>
    <row r="223" spans="1:7" ht="31.5" outlineLevel="2" x14ac:dyDescent="0.25">
      <c r="A223" s="42" t="s">
        <v>76</v>
      </c>
      <c r="B223" s="9" t="s">
        <v>302</v>
      </c>
      <c r="C223" s="20" t="s">
        <v>669</v>
      </c>
      <c r="D223" s="9" t="s">
        <v>39</v>
      </c>
      <c r="E223" s="10">
        <v>0</v>
      </c>
      <c r="F223" s="10">
        <v>209908.2</v>
      </c>
      <c r="G223" s="10">
        <v>0</v>
      </c>
    </row>
    <row r="224" spans="1:7" ht="78.75" outlineLevel="2" x14ac:dyDescent="0.25">
      <c r="A224" s="56" t="s">
        <v>889</v>
      </c>
      <c r="B224" s="9" t="s">
        <v>302</v>
      </c>
      <c r="C224" s="20" t="s">
        <v>670</v>
      </c>
      <c r="D224" s="9"/>
      <c r="E224" s="2">
        <f t="shared" ref="E224:G224" si="67">E225</f>
        <v>0</v>
      </c>
      <c r="F224" s="2">
        <f t="shared" si="67"/>
        <v>39983.800000000003</v>
      </c>
      <c r="G224" s="2">
        <f t="shared" si="67"/>
        <v>0</v>
      </c>
    </row>
    <row r="225" spans="1:7" ht="31.5" outlineLevel="2" x14ac:dyDescent="0.25">
      <c r="A225" s="42" t="s">
        <v>76</v>
      </c>
      <c r="B225" s="9" t="s">
        <v>302</v>
      </c>
      <c r="C225" s="20" t="s">
        <v>670</v>
      </c>
      <c r="D225" s="9" t="s">
        <v>39</v>
      </c>
      <c r="E225" s="10">
        <v>0</v>
      </c>
      <c r="F225" s="10">
        <v>39983.800000000003</v>
      </c>
      <c r="G225" s="10">
        <v>0</v>
      </c>
    </row>
    <row r="226" spans="1:7" ht="78.75" outlineLevel="2" x14ac:dyDescent="0.25">
      <c r="A226" s="56" t="s">
        <v>890</v>
      </c>
      <c r="B226" s="9" t="s">
        <v>302</v>
      </c>
      <c r="C226" s="37" t="s">
        <v>671</v>
      </c>
      <c r="D226" s="9"/>
      <c r="E226" s="10">
        <f t="shared" ref="E226:G226" si="68">E227</f>
        <v>0</v>
      </c>
      <c r="F226" s="10">
        <f t="shared" si="68"/>
        <v>65640.7</v>
      </c>
      <c r="G226" s="10">
        <f t="shared" si="68"/>
        <v>0</v>
      </c>
    </row>
    <row r="227" spans="1:7" ht="31.5" outlineLevel="2" x14ac:dyDescent="0.25">
      <c r="A227" s="42" t="s">
        <v>76</v>
      </c>
      <c r="B227" s="9" t="s">
        <v>302</v>
      </c>
      <c r="C227" s="37" t="s">
        <v>671</v>
      </c>
      <c r="D227" s="9" t="s">
        <v>39</v>
      </c>
      <c r="E227" s="2">
        <v>0</v>
      </c>
      <c r="F227" s="2">
        <v>65640.7</v>
      </c>
      <c r="G227" s="2">
        <v>0</v>
      </c>
    </row>
    <row r="228" spans="1:7" ht="78.75" outlineLevel="2" x14ac:dyDescent="0.25">
      <c r="A228" s="56" t="s">
        <v>672</v>
      </c>
      <c r="B228" s="9" t="s">
        <v>302</v>
      </c>
      <c r="C228" s="20" t="s">
        <v>674</v>
      </c>
      <c r="D228" s="9"/>
      <c r="E228" s="10">
        <f t="shared" ref="E228:G228" si="69">E229</f>
        <v>0</v>
      </c>
      <c r="F228" s="10">
        <f t="shared" si="69"/>
        <v>53185</v>
      </c>
      <c r="G228" s="10">
        <f t="shared" si="69"/>
        <v>0</v>
      </c>
    </row>
    <row r="229" spans="1:7" ht="31.5" outlineLevel="2" x14ac:dyDescent="0.25">
      <c r="A229" s="42" t="s">
        <v>76</v>
      </c>
      <c r="B229" s="9" t="s">
        <v>302</v>
      </c>
      <c r="C229" s="20" t="s">
        <v>674</v>
      </c>
      <c r="D229" s="9" t="s">
        <v>39</v>
      </c>
      <c r="E229" s="10">
        <v>0</v>
      </c>
      <c r="F229" s="10">
        <v>53185</v>
      </c>
      <c r="G229" s="10">
        <v>0</v>
      </c>
    </row>
    <row r="230" spans="1:7" ht="78.75" outlineLevel="2" x14ac:dyDescent="0.25">
      <c r="A230" s="56" t="s">
        <v>673</v>
      </c>
      <c r="B230" s="9" t="s">
        <v>302</v>
      </c>
      <c r="C230" s="20" t="s">
        <v>675</v>
      </c>
      <c r="D230" s="9"/>
      <c r="E230" s="2">
        <f t="shared" ref="E230:G230" si="70">E231</f>
        <v>0</v>
      </c>
      <c r="F230" s="2">
        <f t="shared" si="70"/>
        <v>41210.800000000003</v>
      </c>
      <c r="G230" s="2">
        <f t="shared" si="70"/>
        <v>0</v>
      </c>
    </row>
    <row r="231" spans="1:7" ht="31.5" outlineLevel="2" x14ac:dyDescent="0.25">
      <c r="A231" s="42" t="s">
        <v>76</v>
      </c>
      <c r="B231" s="9" t="s">
        <v>302</v>
      </c>
      <c r="C231" s="20" t="s">
        <v>675</v>
      </c>
      <c r="D231" s="9" t="s">
        <v>39</v>
      </c>
      <c r="E231" s="10">
        <v>0</v>
      </c>
      <c r="F231" s="10">
        <v>41210.800000000003</v>
      </c>
      <c r="G231" s="10">
        <v>0</v>
      </c>
    </row>
    <row r="232" spans="1:7" ht="78.75" outlineLevel="2" x14ac:dyDescent="0.25">
      <c r="A232" s="56" t="s">
        <v>676</v>
      </c>
      <c r="B232" s="9" t="s">
        <v>302</v>
      </c>
      <c r="C232" s="20" t="s">
        <v>677</v>
      </c>
      <c r="D232" s="9"/>
      <c r="E232" s="10">
        <f>+E233</f>
        <v>5983.6</v>
      </c>
      <c r="F232" s="10">
        <f t="shared" ref="F232:G232" si="71">+F233</f>
        <v>54758.7</v>
      </c>
      <c r="G232" s="10">
        <f t="shared" si="71"/>
        <v>0</v>
      </c>
    </row>
    <row r="233" spans="1:7" ht="31.5" outlineLevel="2" x14ac:dyDescent="0.25">
      <c r="A233" s="42" t="s">
        <v>76</v>
      </c>
      <c r="B233" s="9" t="s">
        <v>302</v>
      </c>
      <c r="C233" s="20" t="s">
        <v>677</v>
      </c>
      <c r="D233" s="9" t="s">
        <v>39</v>
      </c>
      <c r="E233" s="10">
        <v>5983.6</v>
      </c>
      <c r="F233" s="10">
        <v>54758.7</v>
      </c>
      <c r="G233" s="10">
        <v>0</v>
      </c>
    </row>
    <row r="234" spans="1:7" ht="94.5" outlineLevel="2" x14ac:dyDescent="0.25">
      <c r="A234" s="42" t="s">
        <v>755</v>
      </c>
      <c r="B234" s="9" t="s">
        <v>302</v>
      </c>
      <c r="C234" s="20" t="s">
        <v>732</v>
      </c>
      <c r="D234" s="9"/>
      <c r="E234" s="10">
        <f>+E235</f>
        <v>282318.7</v>
      </c>
      <c r="F234" s="10">
        <f>+F235</f>
        <v>228418.7</v>
      </c>
      <c r="G234" s="10">
        <f>+G235</f>
        <v>5</v>
      </c>
    </row>
    <row r="235" spans="1:7" ht="47.25" outlineLevel="2" x14ac:dyDescent="0.25">
      <c r="A235" s="43" t="s">
        <v>308</v>
      </c>
      <c r="B235" s="9" t="s">
        <v>302</v>
      </c>
      <c r="C235" s="20" t="s">
        <v>732</v>
      </c>
      <c r="D235" s="9" t="s">
        <v>461</v>
      </c>
      <c r="E235" s="10">
        <v>282318.7</v>
      </c>
      <c r="F235" s="10">
        <v>228418.7</v>
      </c>
      <c r="G235" s="10">
        <v>5</v>
      </c>
    </row>
    <row r="236" spans="1:7" ht="78.75" outlineLevel="2" x14ac:dyDescent="0.25">
      <c r="A236" s="43" t="s">
        <v>891</v>
      </c>
      <c r="B236" s="9" t="s">
        <v>302</v>
      </c>
      <c r="C236" s="20" t="s">
        <v>822</v>
      </c>
      <c r="D236" s="9"/>
      <c r="E236" s="10">
        <f>+E237</f>
        <v>0</v>
      </c>
      <c r="F236" s="10">
        <f>+F237</f>
        <v>244300</v>
      </c>
      <c r="G236" s="10">
        <f>+G237</f>
        <v>0</v>
      </c>
    </row>
    <row r="237" spans="1:7" ht="31.5" outlineLevel="2" x14ac:dyDescent="0.25">
      <c r="A237" s="43" t="s">
        <v>76</v>
      </c>
      <c r="B237" s="9" t="s">
        <v>302</v>
      </c>
      <c r="C237" s="20" t="s">
        <v>822</v>
      </c>
      <c r="D237" s="9" t="s">
        <v>39</v>
      </c>
      <c r="E237" s="10">
        <v>0</v>
      </c>
      <c r="F237" s="10">
        <v>244300</v>
      </c>
      <c r="G237" s="10">
        <v>0</v>
      </c>
    </row>
    <row r="238" spans="1:7" ht="78.75" outlineLevel="2" x14ac:dyDescent="0.25">
      <c r="A238" s="42" t="s">
        <v>892</v>
      </c>
      <c r="B238" s="9" t="s">
        <v>302</v>
      </c>
      <c r="C238" s="20" t="s">
        <v>823</v>
      </c>
      <c r="D238" s="9"/>
      <c r="E238" s="10">
        <f>+E239</f>
        <v>0</v>
      </c>
      <c r="F238" s="10">
        <f>+F239</f>
        <v>35000</v>
      </c>
      <c r="G238" s="10">
        <f>+G239</f>
        <v>0</v>
      </c>
    </row>
    <row r="239" spans="1:7" ht="31.5" outlineLevel="2" x14ac:dyDescent="0.25">
      <c r="A239" s="42" t="s">
        <v>76</v>
      </c>
      <c r="B239" s="9" t="s">
        <v>302</v>
      </c>
      <c r="C239" s="20" t="s">
        <v>823</v>
      </c>
      <c r="D239" s="9" t="s">
        <v>39</v>
      </c>
      <c r="E239" s="10">
        <v>0</v>
      </c>
      <c r="F239" s="10">
        <v>35000</v>
      </c>
      <c r="G239" s="10">
        <v>0</v>
      </c>
    </row>
    <row r="240" spans="1:7" ht="63" outlineLevel="2" x14ac:dyDescent="0.25">
      <c r="A240" s="42" t="s">
        <v>622</v>
      </c>
      <c r="B240" s="9" t="s">
        <v>302</v>
      </c>
      <c r="C240" s="9" t="s">
        <v>564</v>
      </c>
      <c r="D240" s="9"/>
      <c r="E240" s="2">
        <f>E241</f>
        <v>13850</v>
      </c>
      <c r="F240" s="2">
        <f t="shared" ref="F240:G240" si="72">F241</f>
        <v>13497.3</v>
      </c>
      <c r="G240" s="2">
        <f t="shared" si="72"/>
        <v>0</v>
      </c>
    </row>
    <row r="241" spans="1:7" ht="31.5" outlineLevel="2" x14ac:dyDescent="0.25">
      <c r="A241" s="42" t="s">
        <v>76</v>
      </c>
      <c r="B241" s="9" t="s">
        <v>302</v>
      </c>
      <c r="C241" s="9" t="s">
        <v>564</v>
      </c>
      <c r="D241" s="9" t="s">
        <v>39</v>
      </c>
      <c r="E241" s="10">
        <v>13850</v>
      </c>
      <c r="F241" s="10">
        <v>13497.3</v>
      </c>
      <c r="G241" s="10">
        <v>0</v>
      </c>
    </row>
    <row r="242" spans="1:7" ht="78.75" outlineLevel="2" x14ac:dyDescent="0.25">
      <c r="A242" s="42" t="s">
        <v>893</v>
      </c>
      <c r="B242" s="9" t="s">
        <v>302</v>
      </c>
      <c r="C242" s="9" t="s">
        <v>827</v>
      </c>
      <c r="D242" s="9"/>
      <c r="E242" s="2">
        <f t="shared" ref="E242:G248" si="73">E243</f>
        <v>0</v>
      </c>
      <c r="F242" s="2">
        <f t="shared" si="73"/>
        <v>182788.8</v>
      </c>
      <c r="G242" s="2">
        <f t="shared" si="73"/>
        <v>0</v>
      </c>
    </row>
    <row r="243" spans="1:7" ht="31.5" outlineLevel="2" x14ac:dyDescent="0.25">
      <c r="A243" s="42" t="s">
        <v>76</v>
      </c>
      <c r="B243" s="9" t="s">
        <v>302</v>
      </c>
      <c r="C243" s="9" t="s">
        <v>827</v>
      </c>
      <c r="D243" s="9" t="s">
        <v>39</v>
      </c>
      <c r="E243" s="10">
        <v>0</v>
      </c>
      <c r="F243" s="2">
        <v>182788.8</v>
      </c>
      <c r="G243" s="10">
        <v>0</v>
      </c>
    </row>
    <row r="244" spans="1:7" ht="78.75" outlineLevel="2" x14ac:dyDescent="0.25">
      <c r="A244" s="42" t="s">
        <v>824</v>
      </c>
      <c r="B244" s="9" t="s">
        <v>302</v>
      </c>
      <c r="C244" s="9" t="s">
        <v>828</v>
      </c>
      <c r="D244" s="9"/>
      <c r="E244" s="2">
        <f t="shared" si="73"/>
        <v>0</v>
      </c>
      <c r="F244" s="2">
        <f t="shared" ref="F244" si="74">F245</f>
        <v>148300</v>
      </c>
      <c r="G244" s="2">
        <f t="shared" si="73"/>
        <v>0</v>
      </c>
    </row>
    <row r="245" spans="1:7" ht="31.5" outlineLevel="2" x14ac:dyDescent="0.25">
      <c r="A245" s="42" t="s">
        <v>76</v>
      </c>
      <c r="B245" s="9" t="s">
        <v>302</v>
      </c>
      <c r="C245" s="9" t="s">
        <v>828</v>
      </c>
      <c r="D245" s="9" t="s">
        <v>39</v>
      </c>
      <c r="E245" s="10">
        <v>0</v>
      </c>
      <c r="F245" s="2">
        <v>148300</v>
      </c>
      <c r="G245" s="10">
        <v>0</v>
      </c>
    </row>
    <row r="246" spans="1:7" ht="78.75" outlineLevel="2" x14ac:dyDescent="0.25">
      <c r="A246" s="42" t="s">
        <v>825</v>
      </c>
      <c r="B246" s="9" t="s">
        <v>302</v>
      </c>
      <c r="C246" s="9" t="s">
        <v>829</v>
      </c>
      <c r="D246" s="9"/>
      <c r="E246" s="2">
        <f t="shared" si="73"/>
        <v>0</v>
      </c>
      <c r="F246" s="2">
        <f t="shared" ref="F246" si="75">F247</f>
        <v>169200</v>
      </c>
      <c r="G246" s="2">
        <f t="shared" si="73"/>
        <v>0</v>
      </c>
    </row>
    <row r="247" spans="1:7" ht="31.5" outlineLevel="2" x14ac:dyDescent="0.25">
      <c r="A247" s="42" t="s">
        <v>76</v>
      </c>
      <c r="B247" s="9" t="s">
        <v>302</v>
      </c>
      <c r="C247" s="9" t="s">
        <v>829</v>
      </c>
      <c r="D247" s="9" t="s">
        <v>39</v>
      </c>
      <c r="E247" s="10">
        <v>0</v>
      </c>
      <c r="F247" s="2">
        <v>169200</v>
      </c>
      <c r="G247" s="10">
        <v>0</v>
      </c>
    </row>
    <row r="248" spans="1:7" ht="78.75" outlineLevel="2" x14ac:dyDescent="0.25">
      <c r="A248" s="42" t="s">
        <v>826</v>
      </c>
      <c r="B248" s="9" t="s">
        <v>302</v>
      </c>
      <c r="C248" s="9" t="s">
        <v>830</v>
      </c>
      <c r="D248" s="9"/>
      <c r="E248" s="2">
        <f t="shared" si="73"/>
        <v>0</v>
      </c>
      <c r="F248" s="2">
        <f t="shared" ref="F248" si="76">F249</f>
        <v>170400</v>
      </c>
      <c r="G248" s="2">
        <f t="shared" si="73"/>
        <v>0</v>
      </c>
    </row>
    <row r="249" spans="1:7" ht="31.5" outlineLevel="2" x14ac:dyDescent="0.25">
      <c r="A249" s="42" t="s">
        <v>76</v>
      </c>
      <c r="B249" s="9" t="s">
        <v>302</v>
      </c>
      <c r="C249" s="9" t="s">
        <v>830</v>
      </c>
      <c r="D249" s="9" t="s">
        <v>39</v>
      </c>
      <c r="E249" s="10">
        <v>0</v>
      </c>
      <c r="F249" s="2">
        <v>170400</v>
      </c>
      <c r="G249" s="10">
        <v>0</v>
      </c>
    </row>
    <row r="250" spans="1:7" ht="78.75" outlineLevel="2" x14ac:dyDescent="0.25">
      <c r="A250" s="42" t="s">
        <v>884</v>
      </c>
      <c r="B250" s="9" t="s">
        <v>302</v>
      </c>
      <c r="C250" s="28" t="s">
        <v>885</v>
      </c>
      <c r="D250" s="9"/>
      <c r="E250" s="10">
        <f>E251</f>
        <v>0</v>
      </c>
      <c r="F250" s="2">
        <f>F251</f>
        <v>107700</v>
      </c>
      <c r="G250" s="10">
        <f>G251</f>
        <v>0</v>
      </c>
    </row>
    <row r="251" spans="1:7" ht="31.5" outlineLevel="2" x14ac:dyDescent="0.25">
      <c r="A251" s="42" t="s">
        <v>76</v>
      </c>
      <c r="B251" s="9" t="s">
        <v>302</v>
      </c>
      <c r="C251" s="28" t="s">
        <v>885</v>
      </c>
      <c r="D251" s="9" t="s">
        <v>39</v>
      </c>
      <c r="E251" s="10">
        <v>0</v>
      </c>
      <c r="F251" s="2">
        <v>107700</v>
      </c>
      <c r="G251" s="10">
        <v>0</v>
      </c>
    </row>
    <row r="252" spans="1:7" ht="78.75" outlineLevel="2" x14ac:dyDescent="0.25">
      <c r="A252" s="42" t="s">
        <v>886</v>
      </c>
      <c r="B252" s="9" t="s">
        <v>302</v>
      </c>
      <c r="C252" s="28" t="s">
        <v>887</v>
      </c>
      <c r="D252" s="9"/>
      <c r="E252" s="10">
        <f>E253</f>
        <v>0</v>
      </c>
      <c r="F252" s="2">
        <f>F253</f>
        <v>42400</v>
      </c>
      <c r="G252" s="10">
        <f>G253</f>
        <v>0</v>
      </c>
    </row>
    <row r="253" spans="1:7" ht="31.5" outlineLevel="2" x14ac:dyDescent="0.25">
      <c r="A253" s="42" t="s">
        <v>76</v>
      </c>
      <c r="B253" s="9" t="s">
        <v>302</v>
      </c>
      <c r="C253" s="28" t="s">
        <v>887</v>
      </c>
      <c r="D253" s="9" t="s">
        <v>39</v>
      </c>
      <c r="E253" s="10">
        <v>0</v>
      </c>
      <c r="F253" s="2">
        <v>42400</v>
      </c>
      <c r="G253" s="10">
        <v>0</v>
      </c>
    </row>
    <row r="254" spans="1:7" ht="31.5" outlineLevel="2" x14ac:dyDescent="0.25">
      <c r="A254" s="42" t="s">
        <v>154</v>
      </c>
      <c r="B254" s="12" t="s">
        <v>302</v>
      </c>
      <c r="C254" s="12" t="s">
        <v>304</v>
      </c>
      <c r="D254" s="13"/>
      <c r="E254" s="10">
        <f>E255</f>
        <v>721482.4</v>
      </c>
      <c r="F254" s="10">
        <f t="shared" ref="F254:G254" si="77">F255</f>
        <v>343992.6</v>
      </c>
      <c r="G254" s="10">
        <f t="shared" si="77"/>
        <v>337826.7</v>
      </c>
    </row>
    <row r="255" spans="1:7" ht="47.25" outlineLevel="2" x14ac:dyDescent="0.25">
      <c r="A255" s="42" t="s">
        <v>305</v>
      </c>
      <c r="B255" s="12" t="s">
        <v>302</v>
      </c>
      <c r="C255" s="12" t="s">
        <v>306</v>
      </c>
      <c r="D255" s="13"/>
      <c r="E255" s="2">
        <f>E256+E258+E278+E281+E284+E294+E270+E260+E275+E272+E262+E287+E266+E290+E264+E268+E292</f>
        <v>721482.4</v>
      </c>
      <c r="F255" s="2">
        <f>F256+F258+F278+F281+F284+F294+F270+F260+F275+F272+F262+F287+F266+F290+F264+F268+F292</f>
        <v>343992.6</v>
      </c>
      <c r="G255" s="2">
        <f>G256+G258+G278+G281+G284+G294+G270+G260+G275+G272+G262+G287+G266+G290+G264+G268+G292</f>
        <v>337826.7</v>
      </c>
    </row>
    <row r="256" spans="1:7" ht="63" outlineLevel="2" x14ac:dyDescent="0.25">
      <c r="A256" s="43" t="s">
        <v>894</v>
      </c>
      <c r="B256" s="12" t="s">
        <v>302</v>
      </c>
      <c r="C256" s="12" t="s">
        <v>307</v>
      </c>
      <c r="D256" s="13"/>
      <c r="E256" s="10">
        <f>E257</f>
        <v>228.3</v>
      </c>
      <c r="F256" s="10">
        <f>F257</f>
        <v>0</v>
      </c>
      <c r="G256" s="10">
        <f>G257</f>
        <v>0</v>
      </c>
    </row>
    <row r="257" spans="1:8" ht="47.25" outlineLevel="2" x14ac:dyDescent="0.25">
      <c r="A257" s="52" t="s">
        <v>308</v>
      </c>
      <c r="B257" s="12" t="s">
        <v>302</v>
      </c>
      <c r="C257" s="12" t="s">
        <v>307</v>
      </c>
      <c r="D257" s="13">
        <v>400</v>
      </c>
      <c r="E257" s="10">
        <v>228.3</v>
      </c>
      <c r="F257" s="10">
        <v>0</v>
      </c>
      <c r="G257" s="10">
        <v>0</v>
      </c>
    </row>
    <row r="258" spans="1:8" ht="110.25" outlineLevel="2" x14ac:dyDescent="0.25">
      <c r="A258" s="52" t="s">
        <v>490</v>
      </c>
      <c r="B258" s="12" t="s">
        <v>302</v>
      </c>
      <c r="C258" s="12" t="s">
        <v>309</v>
      </c>
      <c r="D258" s="13"/>
      <c r="E258" s="2">
        <f>E259</f>
        <v>12500</v>
      </c>
      <c r="F258" s="2">
        <f>F259</f>
        <v>0</v>
      </c>
      <c r="G258" s="2">
        <f>G259</f>
        <v>0</v>
      </c>
    </row>
    <row r="259" spans="1:8" ht="47.25" outlineLevel="2" x14ac:dyDescent="0.25">
      <c r="A259" s="52" t="s">
        <v>308</v>
      </c>
      <c r="B259" s="12" t="s">
        <v>302</v>
      </c>
      <c r="C259" s="12" t="s">
        <v>309</v>
      </c>
      <c r="D259" s="13">
        <v>400</v>
      </c>
      <c r="E259" s="10">
        <f>14514.6-2014.6</f>
        <v>12500</v>
      </c>
      <c r="F259" s="10">
        <v>0</v>
      </c>
      <c r="G259" s="10">
        <v>0</v>
      </c>
    </row>
    <row r="260" spans="1:8" ht="47.25" outlineLevel="2" x14ac:dyDescent="0.25">
      <c r="A260" s="43" t="s">
        <v>895</v>
      </c>
      <c r="B260" s="9" t="s">
        <v>302</v>
      </c>
      <c r="C260" s="9" t="s">
        <v>509</v>
      </c>
      <c r="D260" s="9"/>
      <c r="E260" s="10">
        <f>E261</f>
        <v>323.39999999999998</v>
      </c>
      <c r="F260" s="10">
        <f>F261</f>
        <v>0</v>
      </c>
      <c r="G260" s="10">
        <f>G261</f>
        <v>0</v>
      </c>
    </row>
    <row r="261" spans="1:8" ht="31.5" outlineLevel="2" x14ac:dyDescent="0.25">
      <c r="A261" s="11" t="s">
        <v>76</v>
      </c>
      <c r="B261" s="9" t="s">
        <v>302</v>
      </c>
      <c r="C261" s="9" t="s">
        <v>509</v>
      </c>
      <c r="D261" s="9" t="s">
        <v>39</v>
      </c>
      <c r="E261" s="2">
        <f>593.3-269.9</f>
        <v>323.39999999999998</v>
      </c>
      <c r="F261" s="2">
        <v>0</v>
      </c>
      <c r="G261" s="2">
        <v>0</v>
      </c>
    </row>
    <row r="262" spans="1:8" ht="119.25" customHeight="1" outlineLevel="2" x14ac:dyDescent="0.25">
      <c r="A262" s="11" t="s">
        <v>640</v>
      </c>
      <c r="B262" s="9" t="s">
        <v>302</v>
      </c>
      <c r="C262" s="21" t="s">
        <v>641</v>
      </c>
      <c r="D262" s="11"/>
      <c r="E262" s="10">
        <f>+E263</f>
        <v>3300</v>
      </c>
      <c r="F262" s="10">
        <f>+F263</f>
        <v>8371</v>
      </c>
      <c r="G262" s="10">
        <f>+G263</f>
        <v>0</v>
      </c>
    </row>
    <row r="263" spans="1:8" ht="42.75" customHeight="1" outlineLevel="2" x14ac:dyDescent="0.25">
      <c r="A263" s="11" t="s">
        <v>308</v>
      </c>
      <c r="B263" s="9" t="s">
        <v>302</v>
      </c>
      <c r="C263" s="21" t="s">
        <v>641</v>
      </c>
      <c r="D263" s="11">
        <v>400</v>
      </c>
      <c r="E263" s="10">
        <f>3587.6-287.6</f>
        <v>3300</v>
      </c>
      <c r="F263" s="10">
        <v>8371</v>
      </c>
      <c r="G263" s="10">
        <v>0</v>
      </c>
    </row>
    <row r="264" spans="1:8" ht="42.75" customHeight="1" outlineLevel="2" x14ac:dyDescent="0.25">
      <c r="A264" s="11" t="s">
        <v>753</v>
      </c>
      <c r="B264" s="9" t="s">
        <v>302</v>
      </c>
      <c r="C264" s="9" t="s">
        <v>754</v>
      </c>
      <c r="D264" s="9"/>
      <c r="E264" s="10">
        <f>+E265</f>
        <v>8764</v>
      </c>
      <c r="F264" s="10">
        <f>+F265</f>
        <v>3798.3</v>
      </c>
      <c r="G264" s="10">
        <f>+G265</f>
        <v>0</v>
      </c>
      <c r="H264" s="10"/>
    </row>
    <row r="265" spans="1:8" ht="42.75" customHeight="1" outlineLevel="2" x14ac:dyDescent="0.25">
      <c r="A265" s="11" t="s">
        <v>76</v>
      </c>
      <c r="B265" s="9" t="s">
        <v>302</v>
      </c>
      <c r="C265" s="9" t="s">
        <v>754</v>
      </c>
      <c r="D265" s="9" t="s">
        <v>39</v>
      </c>
      <c r="E265" s="10">
        <v>8764</v>
      </c>
      <c r="F265" s="10">
        <v>3798.3</v>
      </c>
      <c r="G265" s="10">
        <v>0</v>
      </c>
    </row>
    <row r="266" spans="1:8" ht="42.75" customHeight="1" outlineLevel="2" x14ac:dyDescent="0.25">
      <c r="A266" s="11" t="s">
        <v>756</v>
      </c>
      <c r="B266" s="9" t="s">
        <v>302</v>
      </c>
      <c r="C266" s="9" t="s">
        <v>757</v>
      </c>
      <c r="D266" s="9"/>
      <c r="E266" s="10">
        <f>+E267</f>
        <v>1312.6</v>
      </c>
      <c r="F266" s="10">
        <f>+F267</f>
        <v>0</v>
      </c>
      <c r="G266" s="10">
        <f>+G267</f>
        <v>0</v>
      </c>
    </row>
    <row r="267" spans="1:8" ht="42.75" customHeight="1" outlineLevel="2" x14ac:dyDescent="0.25">
      <c r="A267" s="11" t="s">
        <v>76</v>
      </c>
      <c r="B267" s="9" t="s">
        <v>302</v>
      </c>
      <c r="C267" s="9" t="s">
        <v>757</v>
      </c>
      <c r="D267" s="9" t="s">
        <v>39</v>
      </c>
      <c r="E267" s="10">
        <f>1535-222.4</f>
        <v>1312.6</v>
      </c>
      <c r="F267" s="10">
        <v>0</v>
      </c>
      <c r="G267" s="10">
        <v>0</v>
      </c>
    </row>
    <row r="268" spans="1:8" ht="42.75" customHeight="1" outlineLevel="2" x14ac:dyDescent="0.25">
      <c r="A268" s="54" t="s">
        <v>896</v>
      </c>
      <c r="B268" s="33" t="s">
        <v>302</v>
      </c>
      <c r="C268" s="9" t="s">
        <v>873</v>
      </c>
      <c r="D268" s="33"/>
      <c r="E268" s="10">
        <f>+E269</f>
        <v>60.4</v>
      </c>
      <c r="F268" s="10">
        <f>+F269</f>
        <v>0</v>
      </c>
      <c r="G268" s="10">
        <f>+G269</f>
        <v>0</v>
      </c>
    </row>
    <row r="269" spans="1:8" ht="42.75" customHeight="1" outlineLevel="2" x14ac:dyDescent="0.25">
      <c r="A269" s="54" t="s">
        <v>76</v>
      </c>
      <c r="B269" s="33" t="s">
        <v>302</v>
      </c>
      <c r="C269" s="9" t="s">
        <v>873</v>
      </c>
      <c r="D269" s="33" t="s">
        <v>39</v>
      </c>
      <c r="E269" s="10">
        <v>60.4</v>
      </c>
      <c r="F269" s="10">
        <v>0</v>
      </c>
      <c r="G269" s="10">
        <v>0</v>
      </c>
    </row>
    <row r="270" spans="1:8" ht="78.75" outlineLevel="2" x14ac:dyDescent="0.25">
      <c r="A270" s="50" t="s">
        <v>469</v>
      </c>
      <c r="B270" s="12" t="s">
        <v>302</v>
      </c>
      <c r="C270" s="12" t="s">
        <v>470</v>
      </c>
      <c r="D270" s="13"/>
      <c r="E270" s="2">
        <f>E271</f>
        <v>2720</v>
      </c>
      <c r="F270" s="2">
        <f>F271</f>
        <v>0</v>
      </c>
      <c r="G270" s="2">
        <f>G271</f>
        <v>0</v>
      </c>
    </row>
    <row r="271" spans="1:8" ht="31.5" outlineLevel="2" x14ac:dyDescent="0.25">
      <c r="A271" s="11" t="s">
        <v>76</v>
      </c>
      <c r="B271" s="12" t="s">
        <v>302</v>
      </c>
      <c r="C271" s="12" t="s">
        <v>470</v>
      </c>
      <c r="D271" s="13">
        <v>200</v>
      </c>
      <c r="E271" s="10">
        <f>2570+150</f>
        <v>2720</v>
      </c>
      <c r="F271" s="10">
        <v>0</v>
      </c>
      <c r="G271" s="10">
        <v>0</v>
      </c>
    </row>
    <row r="272" spans="1:8" ht="63" outlineLevel="2" x14ac:dyDescent="0.25">
      <c r="A272" s="50" t="s">
        <v>520</v>
      </c>
      <c r="B272" s="9" t="s">
        <v>302</v>
      </c>
      <c r="C272" s="9" t="s">
        <v>521</v>
      </c>
      <c r="D272" s="9"/>
      <c r="E272" s="10">
        <f>SUM(E273:E274)</f>
        <v>827</v>
      </c>
      <c r="F272" s="10">
        <f>SUM(F273:F274)</f>
        <v>0</v>
      </c>
      <c r="G272" s="10">
        <f>SUM(G273:G274)</f>
        <v>0</v>
      </c>
    </row>
    <row r="273" spans="1:7" ht="47.25" outlineLevel="2" x14ac:dyDescent="0.25">
      <c r="A273" s="40" t="s">
        <v>308</v>
      </c>
      <c r="B273" s="9" t="s">
        <v>302</v>
      </c>
      <c r="C273" s="9" t="s">
        <v>521</v>
      </c>
      <c r="D273" s="9" t="s">
        <v>461</v>
      </c>
      <c r="E273" s="2">
        <v>825</v>
      </c>
      <c r="F273" s="2">
        <v>0</v>
      </c>
      <c r="G273" s="2">
        <v>0</v>
      </c>
    </row>
    <row r="274" spans="1:7" outlineLevel="2" x14ac:dyDescent="0.25">
      <c r="A274" s="46" t="s">
        <v>33</v>
      </c>
      <c r="B274" s="9" t="s">
        <v>302</v>
      </c>
      <c r="C274" s="9" t="s">
        <v>521</v>
      </c>
      <c r="D274" s="9" t="s">
        <v>522</v>
      </c>
      <c r="E274" s="10">
        <v>2</v>
      </c>
      <c r="F274" s="10">
        <v>0</v>
      </c>
      <c r="G274" s="10">
        <v>0</v>
      </c>
    </row>
    <row r="275" spans="1:7" ht="47.25" outlineLevel="2" x14ac:dyDescent="0.25">
      <c r="A275" s="11" t="s">
        <v>517</v>
      </c>
      <c r="B275" s="9" t="s">
        <v>302</v>
      </c>
      <c r="C275" s="9" t="s">
        <v>518</v>
      </c>
      <c r="D275" s="9"/>
      <c r="E275" s="10">
        <f>SUM(E276:E277)</f>
        <v>165314.29999999999</v>
      </c>
      <c r="F275" s="10">
        <f>SUM(F276:F277)</f>
        <v>0</v>
      </c>
      <c r="G275" s="10">
        <f>G276</f>
        <v>0</v>
      </c>
    </row>
    <row r="276" spans="1:7" ht="31.5" outlineLevel="2" x14ac:dyDescent="0.25">
      <c r="A276" s="11" t="s">
        <v>76</v>
      </c>
      <c r="B276" s="9" t="s">
        <v>302</v>
      </c>
      <c r="C276" s="9" t="s">
        <v>518</v>
      </c>
      <c r="D276" s="9" t="s">
        <v>39</v>
      </c>
      <c r="E276" s="2">
        <v>37414.300000000003</v>
      </c>
      <c r="F276" s="2">
        <v>0</v>
      </c>
      <c r="G276" s="2">
        <v>0</v>
      </c>
    </row>
    <row r="277" spans="1:7" ht="47.25" outlineLevel="2" x14ac:dyDescent="0.25">
      <c r="A277" s="11" t="s">
        <v>94</v>
      </c>
      <c r="B277" s="9" t="s">
        <v>302</v>
      </c>
      <c r="C277" s="9" t="s">
        <v>518</v>
      </c>
      <c r="D277" s="9" t="s">
        <v>95</v>
      </c>
      <c r="E277" s="10">
        <f>99900+28000</f>
        <v>127900</v>
      </c>
      <c r="F277" s="10">
        <v>0</v>
      </c>
      <c r="G277" s="10">
        <v>0</v>
      </c>
    </row>
    <row r="278" spans="1:7" ht="63" outlineLevel="2" x14ac:dyDescent="0.25">
      <c r="A278" s="52" t="s">
        <v>310</v>
      </c>
      <c r="B278" s="12" t="s">
        <v>302</v>
      </c>
      <c r="C278" s="12" t="s">
        <v>311</v>
      </c>
      <c r="D278" s="13"/>
      <c r="E278" s="10">
        <f>E280+E279</f>
        <v>40642.100000000006</v>
      </c>
      <c r="F278" s="10">
        <f>F280+F279</f>
        <v>75546</v>
      </c>
      <c r="G278" s="10">
        <f>G280+G279</f>
        <v>50295.1</v>
      </c>
    </row>
    <row r="279" spans="1:7" ht="31.5" outlineLevel="2" x14ac:dyDescent="0.25">
      <c r="A279" s="54" t="s">
        <v>76</v>
      </c>
      <c r="B279" s="33" t="s">
        <v>302</v>
      </c>
      <c r="C279" s="9" t="s">
        <v>311</v>
      </c>
      <c r="D279" s="33" t="s">
        <v>39</v>
      </c>
      <c r="E279" s="10">
        <v>2.1</v>
      </c>
      <c r="F279" s="10">
        <v>0</v>
      </c>
      <c r="G279" s="10">
        <v>0</v>
      </c>
    </row>
    <row r="280" spans="1:7" ht="47.25" outlineLevel="2" x14ac:dyDescent="0.25">
      <c r="A280" s="52" t="s">
        <v>308</v>
      </c>
      <c r="B280" s="12" t="s">
        <v>302</v>
      </c>
      <c r="C280" s="12" t="s">
        <v>311</v>
      </c>
      <c r="D280" s="13">
        <v>400</v>
      </c>
      <c r="E280" s="2">
        <f>48968.3-501.7+0.1-7826.7</f>
        <v>40640.000000000007</v>
      </c>
      <c r="F280" s="2">
        <v>75546</v>
      </c>
      <c r="G280" s="2">
        <v>50295.1</v>
      </c>
    </row>
    <row r="281" spans="1:7" ht="94.5" outlineLevel="2" x14ac:dyDescent="0.25">
      <c r="A281" s="52" t="s">
        <v>312</v>
      </c>
      <c r="B281" s="12" t="s">
        <v>302</v>
      </c>
      <c r="C281" s="12" t="s">
        <v>313</v>
      </c>
      <c r="D281" s="13"/>
      <c r="E281" s="10">
        <f>SUM(E282:E283)</f>
        <v>207943</v>
      </c>
      <c r="F281" s="10">
        <f>SUM(F282:F283)</f>
        <v>34557.199999999997</v>
      </c>
      <c r="G281" s="10">
        <f>SUM(G282:G283)</f>
        <v>111584.1</v>
      </c>
    </row>
    <row r="282" spans="1:7" ht="31.5" outlineLevel="2" x14ac:dyDescent="0.25">
      <c r="A282" s="11" t="s">
        <v>76</v>
      </c>
      <c r="B282" s="12" t="s">
        <v>302</v>
      </c>
      <c r="C282" s="12" t="s">
        <v>313</v>
      </c>
      <c r="D282" s="13">
        <v>200</v>
      </c>
      <c r="E282" s="10">
        <f>156462.5+1332.4-2501-2612.9-9364.8</f>
        <v>143316.20000000001</v>
      </c>
      <c r="F282" s="10">
        <v>34557.199999999997</v>
      </c>
      <c r="G282" s="10">
        <v>111584.1</v>
      </c>
    </row>
    <row r="283" spans="1:7" ht="47.25" outlineLevel="2" x14ac:dyDescent="0.25">
      <c r="A283" s="43" t="s">
        <v>308</v>
      </c>
      <c r="B283" s="9" t="s">
        <v>302</v>
      </c>
      <c r="C283" s="9" t="s">
        <v>313</v>
      </c>
      <c r="D283" s="9" t="s">
        <v>461</v>
      </c>
      <c r="E283" s="2">
        <f>44304.2+1219.3+19103.3</f>
        <v>64626.8</v>
      </c>
      <c r="F283" s="2">
        <v>0</v>
      </c>
      <c r="G283" s="2">
        <v>0</v>
      </c>
    </row>
    <row r="284" spans="1:7" ht="126" outlineLevel="2" x14ac:dyDescent="0.25">
      <c r="A284" s="52" t="s">
        <v>314</v>
      </c>
      <c r="B284" s="12" t="s">
        <v>302</v>
      </c>
      <c r="C284" s="12" t="s">
        <v>315</v>
      </c>
      <c r="D284" s="13"/>
      <c r="E284" s="10">
        <f>E285+E286</f>
        <v>90028</v>
      </c>
      <c r="F284" s="10">
        <f>F285+F286</f>
        <v>61266.799999999996</v>
      </c>
      <c r="G284" s="10">
        <f>G285+G286</f>
        <v>12887.8</v>
      </c>
    </row>
    <row r="285" spans="1:7" ht="31.5" outlineLevel="2" x14ac:dyDescent="0.25">
      <c r="A285" s="11" t="s">
        <v>76</v>
      </c>
      <c r="B285" s="12" t="s">
        <v>302</v>
      </c>
      <c r="C285" s="12" t="s">
        <v>315</v>
      </c>
      <c r="D285" s="13">
        <v>200</v>
      </c>
      <c r="E285" s="10">
        <f>75692.6-122-1911.8</f>
        <v>73658.8</v>
      </c>
      <c r="F285" s="10">
        <v>52756.2</v>
      </c>
      <c r="G285" s="10">
        <v>12887.8</v>
      </c>
    </row>
    <row r="286" spans="1:7" ht="47.25" outlineLevel="2" x14ac:dyDescent="0.25">
      <c r="A286" s="57" t="s">
        <v>94</v>
      </c>
      <c r="B286" s="33" t="s">
        <v>302</v>
      </c>
      <c r="C286" s="9" t="s">
        <v>315</v>
      </c>
      <c r="D286" s="33" t="s">
        <v>95</v>
      </c>
      <c r="E286" s="10">
        <f>982.1+15387.1</f>
        <v>16369.2</v>
      </c>
      <c r="F286" s="10">
        <v>8510.6</v>
      </c>
      <c r="G286" s="10">
        <v>0</v>
      </c>
    </row>
    <row r="287" spans="1:7" ht="78.75" outlineLevel="2" x14ac:dyDescent="0.25">
      <c r="A287" s="11" t="s">
        <v>728</v>
      </c>
      <c r="B287" s="12" t="s">
        <v>302</v>
      </c>
      <c r="C287" s="12" t="s">
        <v>729</v>
      </c>
      <c r="D287" s="22"/>
      <c r="E287" s="10">
        <f>+E288+E289</f>
        <v>176278</v>
      </c>
      <c r="F287" s="10">
        <f>+F288+F289</f>
        <v>151063.79999999999</v>
      </c>
      <c r="G287" s="10">
        <f>+G288+G289</f>
        <v>159574.5</v>
      </c>
    </row>
    <row r="288" spans="1:7" ht="31.5" outlineLevel="2" x14ac:dyDescent="0.25">
      <c r="A288" s="42" t="s">
        <v>76</v>
      </c>
      <c r="B288" s="12" t="s">
        <v>302</v>
      </c>
      <c r="C288" s="12" t="s">
        <v>729</v>
      </c>
      <c r="D288" s="12" t="s">
        <v>39</v>
      </c>
      <c r="E288" s="2">
        <v>24583.9</v>
      </c>
      <c r="F288" s="10">
        <v>151063.79999999999</v>
      </c>
      <c r="G288" s="10">
        <v>159574.5</v>
      </c>
    </row>
    <row r="289" spans="1:7" ht="47.25" outlineLevel="2" x14ac:dyDescent="0.25">
      <c r="A289" s="11" t="s">
        <v>94</v>
      </c>
      <c r="B289" s="12" t="s">
        <v>302</v>
      </c>
      <c r="C289" s="12" t="s">
        <v>729</v>
      </c>
      <c r="D289" s="12" t="s">
        <v>95</v>
      </c>
      <c r="E289" s="2">
        <f>51673.1+5804.5+196.8+94019.7</f>
        <v>151694.1</v>
      </c>
      <c r="F289" s="10">
        <v>0</v>
      </c>
      <c r="G289" s="10">
        <v>0</v>
      </c>
    </row>
    <row r="290" spans="1:7" ht="94.5" outlineLevel="2" x14ac:dyDescent="0.25">
      <c r="A290" s="58" t="s">
        <v>805</v>
      </c>
      <c r="B290" s="9" t="s">
        <v>302</v>
      </c>
      <c r="C290" s="9" t="s">
        <v>806</v>
      </c>
      <c r="D290" s="9"/>
      <c r="E290" s="2">
        <f>+E291</f>
        <v>503.00000000000006</v>
      </c>
      <c r="F290" s="2">
        <f>+F291</f>
        <v>5904.3</v>
      </c>
      <c r="G290" s="2">
        <f>+G291</f>
        <v>0</v>
      </c>
    </row>
    <row r="291" spans="1:7" ht="31.5" outlineLevel="2" x14ac:dyDescent="0.25">
      <c r="A291" s="42" t="s">
        <v>76</v>
      </c>
      <c r="B291" s="9" t="s">
        <v>302</v>
      </c>
      <c r="C291" s="9" t="s">
        <v>806</v>
      </c>
      <c r="D291" s="9" t="s">
        <v>39</v>
      </c>
      <c r="E291" s="2">
        <f>600-5.8-91.2</f>
        <v>503.00000000000006</v>
      </c>
      <c r="F291" s="10">
        <v>5904.3</v>
      </c>
      <c r="G291" s="10">
        <v>0</v>
      </c>
    </row>
    <row r="292" spans="1:7" ht="94.5" outlineLevel="2" x14ac:dyDescent="0.25">
      <c r="A292" s="53" t="s">
        <v>874</v>
      </c>
      <c r="B292" s="33" t="s">
        <v>302</v>
      </c>
      <c r="C292" s="9" t="s">
        <v>875</v>
      </c>
      <c r="D292" s="33"/>
      <c r="E292" s="2">
        <f>+E293</f>
        <v>5859</v>
      </c>
      <c r="F292" s="2">
        <f>+F293</f>
        <v>0</v>
      </c>
      <c r="G292" s="2">
        <f>+G293</f>
        <v>0</v>
      </c>
    </row>
    <row r="293" spans="1:7" ht="94.5" outlineLevel="2" x14ac:dyDescent="0.25">
      <c r="A293" s="53" t="s">
        <v>874</v>
      </c>
      <c r="B293" s="33" t="s">
        <v>302</v>
      </c>
      <c r="C293" s="9" t="s">
        <v>875</v>
      </c>
      <c r="D293" s="33" t="s">
        <v>39</v>
      </c>
      <c r="E293" s="2">
        <f>351.5+5507.5</f>
        <v>5859</v>
      </c>
      <c r="F293" s="10">
        <v>0</v>
      </c>
      <c r="G293" s="10">
        <v>0</v>
      </c>
    </row>
    <row r="294" spans="1:7" ht="78.75" outlineLevel="2" x14ac:dyDescent="0.25">
      <c r="A294" s="52" t="s">
        <v>316</v>
      </c>
      <c r="B294" s="12" t="s">
        <v>302</v>
      </c>
      <c r="C294" s="12" t="s">
        <v>317</v>
      </c>
      <c r="D294" s="13"/>
      <c r="E294" s="2">
        <f>E295</f>
        <v>4879.3</v>
      </c>
      <c r="F294" s="2">
        <f>F295</f>
        <v>3485.2</v>
      </c>
      <c r="G294" s="2">
        <f>G295</f>
        <v>3485.2</v>
      </c>
    </row>
    <row r="295" spans="1:7" ht="31.5" outlineLevel="2" x14ac:dyDescent="0.25">
      <c r="A295" s="42" t="s">
        <v>76</v>
      </c>
      <c r="B295" s="12" t="s">
        <v>302</v>
      </c>
      <c r="C295" s="12" t="s">
        <v>317</v>
      </c>
      <c r="D295" s="13">
        <v>200</v>
      </c>
      <c r="E295" s="10">
        <v>4879.3</v>
      </c>
      <c r="F295" s="10">
        <v>3485.2</v>
      </c>
      <c r="G295" s="10">
        <v>3485.2</v>
      </c>
    </row>
    <row r="296" spans="1:7" outlineLevel="2" x14ac:dyDescent="0.25">
      <c r="A296" s="47" t="s">
        <v>144</v>
      </c>
      <c r="B296" s="16" t="s">
        <v>302</v>
      </c>
      <c r="C296" s="16" t="s">
        <v>293</v>
      </c>
      <c r="D296" s="13"/>
      <c r="E296" s="10">
        <f>E297</f>
        <v>400087.2</v>
      </c>
      <c r="F296" s="10">
        <f t="shared" ref="F296:G296" si="78">F297</f>
        <v>320593</v>
      </c>
      <c r="G296" s="10">
        <f t="shared" si="78"/>
        <v>267420.09999999998</v>
      </c>
    </row>
    <row r="297" spans="1:7" ht="47.25" outlineLevel="2" x14ac:dyDescent="0.25">
      <c r="A297" s="50" t="s">
        <v>471</v>
      </c>
      <c r="B297" s="12" t="s">
        <v>302</v>
      </c>
      <c r="C297" s="12" t="s">
        <v>472</v>
      </c>
      <c r="D297" s="13"/>
      <c r="E297" s="2">
        <f>E298+E300</f>
        <v>400087.2</v>
      </c>
      <c r="F297" s="2">
        <f>F298+F300</f>
        <v>320593</v>
      </c>
      <c r="G297" s="2">
        <f>G298+G300</f>
        <v>267420.09999999998</v>
      </c>
    </row>
    <row r="298" spans="1:7" outlineLevel="2" x14ac:dyDescent="0.25">
      <c r="A298" s="46" t="s">
        <v>473</v>
      </c>
      <c r="B298" s="12" t="s">
        <v>302</v>
      </c>
      <c r="C298" s="12" t="s">
        <v>504</v>
      </c>
      <c r="D298" s="13"/>
      <c r="E298" s="10">
        <f>E299</f>
        <v>339654</v>
      </c>
      <c r="F298" s="10">
        <f t="shared" ref="F298:G298" si="79">F299</f>
        <v>264359.8</v>
      </c>
      <c r="G298" s="10">
        <f t="shared" si="79"/>
        <v>211186.9</v>
      </c>
    </row>
    <row r="299" spans="1:7" ht="47.25" outlineLevel="2" x14ac:dyDescent="0.25">
      <c r="A299" s="50" t="s">
        <v>94</v>
      </c>
      <c r="B299" s="12" t="s">
        <v>302</v>
      </c>
      <c r="C299" s="12" t="s">
        <v>504</v>
      </c>
      <c r="D299" s="13">
        <v>600</v>
      </c>
      <c r="E299" s="10">
        <f>284554+43766.1+11333.9</f>
        <v>339654</v>
      </c>
      <c r="F299" s="10">
        <v>264359.8</v>
      </c>
      <c r="G299" s="10">
        <v>211186.9</v>
      </c>
    </row>
    <row r="300" spans="1:7" ht="31.5" outlineLevel="2" x14ac:dyDescent="0.25">
      <c r="A300" s="38" t="s">
        <v>474</v>
      </c>
      <c r="B300" s="12" t="s">
        <v>302</v>
      </c>
      <c r="C300" s="12" t="s">
        <v>505</v>
      </c>
      <c r="D300" s="13"/>
      <c r="E300" s="2">
        <f>E301</f>
        <v>60433.2</v>
      </c>
      <c r="F300" s="2">
        <f t="shared" ref="F300:G300" si="80">F301</f>
        <v>56233.2</v>
      </c>
      <c r="G300" s="2">
        <f t="shared" si="80"/>
        <v>56233.2</v>
      </c>
    </row>
    <row r="301" spans="1:7" ht="47.25" outlineLevel="2" x14ac:dyDescent="0.25">
      <c r="A301" s="50" t="s">
        <v>94</v>
      </c>
      <c r="B301" s="12" t="s">
        <v>302</v>
      </c>
      <c r="C301" s="12" t="s">
        <v>505</v>
      </c>
      <c r="D301" s="13">
        <v>600</v>
      </c>
      <c r="E301" s="10">
        <f>56233.2+4200</f>
        <v>60433.2</v>
      </c>
      <c r="F301" s="10">
        <v>56233.2</v>
      </c>
      <c r="G301" s="10">
        <v>56233.2</v>
      </c>
    </row>
    <row r="302" spans="1:7" ht="47.25" outlineLevel="2" x14ac:dyDescent="0.25">
      <c r="A302" s="46" t="s">
        <v>368</v>
      </c>
      <c r="B302" s="12" t="s">
        <v>302</v>
      </c>
      <c r="C302" s="12" t="s">
        <v>369</v>
      </c>
      <c r="D302" s="22"/>
      <c r="E302" s="10">
        <f>+E303</f>
        <v>332.6</v>
      </c>
      <c r="F302" s="10">
        <f t="shared" ref="F302:G305" si="81">+F303</f>
        <v>0</v>
      </c>
      <c r="G302" s="10">
        <f t="shared" si="81"/>
        <v>0</v>
      </c>
    </row>
    <row r="303" spans="1:7" ht="31.5" outlineLevel="2" x14ac:dyDescent="0.25">
      <c r="A303" s="46" t="s">
        <v>154</v>
      </c>
      <c r="B303" s="12" t="s">
        <v>302</v>
      </c>
      <c r="C303" s="12" t="s">
        <v>370</v>
      </c>
      <c r="D303" s="22"/>
      <c r="E303" s="10">
        <f>+E304</f>
        <v>332.6</v>
      </c>
      <c r="F303" s="10">
        <f t="shared" si="81"/>
        <v>0</v>
      </c>
      <c r="G303" s="10">
        <f t="shared" si="81"/>
        <v>0</v>
      </c>
    </row>
    <row r="304" spans="1:7" ht="63" outlineLevel="2" x14ac:dyDescent="0.25">
      <c r="A304" s="46" t="s">
        <v>371</v>
      </c>
      <c r="B304" s="12" t="s">
        <v>302</v>
      </c>
      <c r="C304" s="12" t="s">
        <v>372</v>
      </c>
      <c r="D304" s="22"/>
      <c r="E304" s="10">
        <f>+E305</f>
        <v>332.6</v>
      </c>
      <c r="F304" s="10">
        <f t="shared" si="81"/>
        <v>0</v>
      </c>
      <c r="G304" s="10">
        <f t="shared" si="81"/>
        <v>0</v>
      </c>
    </row>
    <row r="305" spans="1:7" ht="63" outlineLevel="2" x14ac:dyDescent="0.25">
      <c r="A305" s="48" t="s">
        <v>730</v>
      </c>
      <c r="B305" s="12" t="s">
        <v>302</v>
      </c>
      <c r="C305" s="12" t="s">
        <v>731</v>
      </c>
      <c r="D305" s="22"/>
      <c r="E305" s="10">
        <f>+E306</f>
        <v>332.6</v>
      </c>
      <c r="F305" s="10">
        <f t="shared" si="81"/>
        <v>0</v>
      </c>
      <c r="G305" s="10">
        <f t="shared" si="81"/>
        <v>0</v>
      </c>
    </row>
    <row r="306" spans="1:7" ht="31.5" outlineLevel="2" x14ac:dyDescent="0.25">
      <c r="A306" s="46" t="s">
        <v>76</v>
      </c>
      <c r="B306" s="12" t="s">
        <v>302</v>
      </c>
      <c r="C306" s="12" t="s">
        <v>731</v>
      </c>
      <c r="D306" s="12" t="s">
        <v>39</v>
      </c>
      <c r="E306" s="10">
        <v>332.6</v>
      </c>
      <c r="F306" s="10">
        <v>0</v>
      </c>
      <c r="G306" s="10">
        <v>0</v>
      </c>
    </row>
    <row r="307" spans="1:7" ht="31.5" outlineLevel="1" x14ac:dyDescent="0.25">
      <c r="A307" s="48" t="s">
        <v>318</v>
      </c>
      <c r="B307" s="12" t="s">
        <v>319</v>
      </c>
      <c r="C307" s="12"/>
      <c r="D307" s="13"/>
      <c r="E307" s="10">
        <f>E308+E323</f>
        <v>31404.399999999998</v>
      </c>
      <c r="F307" s="10">
        <f>F308+F323</f>
        <v>12161.3</v>
      </c>
      <c r="G307" s="10">
        <f>G308+G323</f>
        <v>12183.5</v>
      </c>
    </row>
    <row r="308" spans="1:7" ht="47.25" outlineLevel="2" x14ac:dyDescent="0.25">
      <c r="A308" s="48" t="s">
        <v>320</v>
      </c>
      <c r="B308" s="12" t="s">
        <v>319</v>
      </c>
      <c r="C308" s="12" t="s">
        <v>321</v>
      </c>
      <c r="D308" s="13"/>
      <c r="E308" s="2">
        <f t="shared" ref="E308:G309" si="82">E309</f>
        <v>21844.799999999999</v>
      </c>
      <c r="F308" s="2">
        <f t="shared" si="82"/>
        <v>2329.8000000000002</v>
      </c>
      <c r="G308" s="2">
        <f t="shared" si="82"/>
        <v>2352</v>
      </c>
    </row>
    <row r="309" spans="1:7" ht="31.5" outlineLevel="2" x14ac:dyDescent="0.25">
      <c r="A309" s="47" t="s">
        <v>154</v>
      </c>
      <c r="B309" s="16" t="s">
        <v>319</v>
      </c>
      <c r="C309" s="16" t="s">
        <v>322</v>
      </c>
      <c r="D309" s="13"/>
      <c r="E309" s="10">
        <f t="shared" si="82"/>
        <v>21844.799999999999</v>
      </c>
      <c r="F309" s="10">
        <f t="shared" si="82"/>
        <v>2329.8000000000002</v>
      </c>
      <c r="G309" s="10">
        <f t="shared" si="82"/>
        <v>2352</v>
      </c>
    </row>
    <row r="310" spans="1:7" ht="47.25" outlineLevel="2" x14ac:dyDescent="0.25">
      <c r="A310" s="52" t="s">
        <v>323</v>
      </c>
      <c r="B310" s="12" t="s">
        <v>319</v>
      </c>
      <c r="C310" s="12" t="s">
        <v>324</v>
      </c>
      <c r="D310" s="13"/>
      <c r="E310" s="10">
        <f>E313+E311+E319+E315+E317+E321</f>
        <v>21844.799999999999</v>
      </c>
      <c r="F310" s="10">
        <f>F313+F311+F319+F315+F317+F321</f>
        <v>2329.8000000000002</v>
      </c>
      <c r="G310" s="10">
        <f>G313+G311+G319+G315+G317+G321</f>
        <v>2352</v>
      </c>
    </row>
    <row r="311" spans="1:7" ht="47.25" outlineLevel="2" x14ac:dyDescent="0.25">
      <c r="A311" s="42" t="s">
        <v>325</v>
      </c>
      <c r="B311" s="12" t="s">
        <v>319</v>
      </c>
      <c r="C311" s="12" t="s">
        <v>326</v>
      </c>
      <c r="D311" s="13"/>
      <c r="E311" s="2">
        <f>E312</f>
        <v>164</v>
      </c>
      <c r="F311" s="2">
        <f>F312</f>
        <v>49.9</v>
      </c>
      <c r="G311" s="2">
        <f>G312</f>
        <v>51.9</v>
      </c>
    </row>
    <row r="312" spans="1:7" ht="31.5" outlineLevel="2" x14ac:dyDescent="0.25">
      <c r="A312" s="42" t="s">
        <v>76</v>
      </c>
      <c r="B312" s="12" t="s">
        <v>319</v>
      </c>
      <c r="C312" s="12" t="s">
        <v>326</v>
      </c>
      <c r="D312" s="13">
        <v>200</v>
      </c>
      <c r="E312" s="10">
        <f>48+116</f>
        <v>164</v>
      </c>
      <c r="F312" s="10">
        <v>49.9</v>
      </c>
      <c r="G312" s="10">
        <v>51.9</v>
      </c>
    </row>
    <row r="313" spans="1:7" ht="63" outlineLevel="2" x14ac:dyDescent="0.25">
      <c r="A313" s="52" t="s">
        <v>327</v>
      </c>
      <c r="B313" s="12" t="s">
        <v>319</v>
      </c>
      <c r="C313" s="12" t="s">
        <v>328</v>
      </c>
      <c r="D313" s="13"/>
      <c r="E313" s="10">
        <f>E314</f>
        <v>507.6</v>
      </c>
      <c r="F313" s="10">
        <f>F314</f>
        <v>449.20000000000005</v>
      </c>
      <c r="G313" s="10">
        <f>G314</f>
        <v>468.79999999999995</v>
      </c>
    </row>
    <row r="314" spans="1:7" ht="31.5" outlineLevel="2" x14ac:dyDescent="0.25">
      <c r="A314" s="42" t="s">
        <v>76</v>
      </c>
      <c r="B314" s="12" t="s">
        <v>319</v>
      </c>
      <c r="C314" s="12" t="s">
        <v>328</v>
      </c>
      <c r="D314" s="13">
        <v>200</v>
      </c>
      <c r="E314" s="2">
        <f>475.5+32.1</f>
        <v>507.6</v>
      </c>
      <c r="F314" s="2">
        <v>449.20000000000005</v>
      </c>
      <c r="G314" s="2">
        <v>468.79999999999995</v>
      </c>
    </row>
    <row r="315" spans="1:7" ht="110.25" outlineLevel="2" x14ac:dyDescent="0.25">
      <c r="A315" s="42" t="s">
        <v>678</v>
      </c>
      <c r="B315" s="9" t="s">
        <v>319</v>
      </c>
      <c r="C315" s="9" t="s">
        <v>679</v>
      </c>
      <c r="D315" s="9"/>
      <c r="E315" s="10">
        <f>+E316</f>
        <v>3851.8999999999996</v>
      </c>
      <c r="F315" s="10">
        <f t="shared" ref="F315:G315" si="83">+F316</f>
        <v>0</v>
      </c>
      <c r="G315" s="10">
        <f t="shared" si="83"/>
        <v>0</v>
      </c>
    </row>
    <row r="316" spans="1:7" outlineLevel="2" x14ac:dyDescent="0.25">
      <c r="A316" s="43" t="s">
        <v>33</v>
      </c>
      <c r="B316" s="9" t="s">
        <v>319</v>
      </c>
      <c r="C316" s="9" t="s">
        <v>679</v>
      </c>
      <c r="D316" s="9" t="s">
        <v>522</v>
      </c>
      <c r="E316" s="10">
        <f>14000-10148.1</f>
        <v>3851.8999999999996</v>
      </c>
      <c r="F316" s="10">
        <v>0</v>
      </c>
      <c r="G316" s="10">
        <v>0</v>
      </c>
    </row>
    <row r="317" spans="1:7" ht="94.5" outlineLevel="2" x14ac:dyDescent="0.25">
      <c r="A317" s="43" t="s">
        <v>878</v>
      </c>
      <c r="B317" s="9" t="s">
        <v>319</v>
      </c>
      <c r="C317" s="9" t="s">
        <v>879</v>
      </c>
      <c r="D317" s="9"/>
      <c r="E317" s="10">
        <f>E318</f>
        <v>10000</v>
      </c>
      <c r="F317" s="10">
        <f>F318</f>
        <v>0</v>
      </c>
      <c r="G317" s="10">
        <f>G318</f>
        <v>0</v>
      </c>
    </row>
    <row r="318" spans="1:7" outlineLevel="2" x14ac:dyDescent="0.25">
      <c r="A318" s="43" t="s">
        <v>33</v>
      </c>
      <c r="B318" s="9" t="s">
        <v>319</v>
      </c>
      <c r="C318" s="9" t="s">
        <v>879</v>
      </c>
      <c r="D318" s="9" t="s">
        <v>522</v>
      </c>
      <c r="E318" s="10">
        <v>10000</v>
      </c>
      <c r="F318" s="10">
        <v>0</v>
      </c>
      <c r="G318" s="10">
        <v>0</v>
      </c>
    </row>
    <row r="319" spans="1:7" ht="189" outlineLevel="2" x14ac:dyDescent="0.25">
      <c r="A319" s="47" t="s">
        <v>499</v>
      </c>
      <c r="B319" s="12" t="s">
        <v>319</v>
      </c>
      <c r="C319" s="12" t="s">
        <v>329</v>
      </c>
      <c r="D319" s="13"/>
      <c r="E319" s="2">
        <f>E320</f>
        <v>6000</v>
      </c>
      <c r="F319" s="2">
        <f>F320</f>
        <v>1830.7</v>
      </c>
      <c r="G319" s="2">
        <f>G320</f>
        <v>1831.3</v>
      </c>
    </row>
    <row r="320" spans="1:7" outlineLevel="2" x14ac:dyDescent="0.25">
      <c r="A320" s="59" t="s">
        <v>33</v>
      </c>
      <c r="B320" s="12" t="s">
        <v>319</v>
      </c>
      <c r="C320" s="12" t="s">
        <v>329</v>
      </c>
      <c r="D320" s="13">
        <v>800</v>
      </c>
      <c r="E320" s="10">
        <f>7321.3-79.3-1242</f>
        <v>6000</v>
      </c>
      <c r="F320" s="10">
        <v>1830.7</v>
      </c>
      <c r="G320" s="10">
        <v>1831.3</v>
      </c>
    </row>
    <row r="321" spans="1:7" ht="173.25" outlineLevel="2" x14ac:dyDescent="0.25">
      <c r="A321" s="60" t="s">
        <v>880</v>
      </c>
      <c r="B321" s="35" t="s">
        <v>319</v>
      </c>
      <c r="C321" s="12" t="s">
        <v>881</v>
      </c>
      <c r="D321" s="36"/>
      <c r="E321" s="10">
        <f>E322</f>
        <v>1321.3</v>
      </c>
      <c r="F321" s="10">
        <f>F322</f>
        <v>0</v>
      </c>
      <c r="G321" s="10">
        <f>G322</f>
        <v>0</v>
      </c>
    </row>
    <row r="322" spans="1:7" outlineLevel="2" x14ac:dyDescent="0.25">
      <c r="A322" s="60" t="s">
        <v>33</v>
      </c>
      <c r="B322" s="35" t="s">
        <v>319</v>
      </c>
      <c r="C322" s="12" t="s">
        <v>881</v>
      </c>
      <c r="D322" s="35">
        <v>800</v>
      </c>
      <c r="E322" s="10">
        <f>79.3+1242</f>
        <v>1321.3</v>
      </c>
      <c r="F322" s="10">
        <v>0</v>
      </c>
      <c r="G322" s="10">
        <v>0</v>
      </c>
    </row>
    <row r="323" spans="1:7" ht="78.75" outlineLevel="2" x14ac:dyDescent="0.25">
      <c r="A323" s="47" t="s">
        <v>330</v>
      </c>
      <c r="B323" s="16" t="s">
        <v>319</v>
      </c>
      <c r="C323" s="16" t="s">
        <v>331</v>
      </c>
      <c r="D323" s="16"/>
      <c r="E323" s="10">
        <f>E324</f>
        <v>9559.5999999999985</v>
      </c>
      <c r="F323" s="10">
        <f t="shared" ref="F323:G323" si="84">F324</f>
        <v>9831.5</v>
      </c>
      <c r="G323" s="10">
        <f t="shared" si="84"/>
        <v>9831.5</v>
      </c>
    </row>
    <row r="324" spans="1:7" ht="31.5" outlineLevel="2" x14ac:dyDescent="0.25">
      <c r="A324" s="47" t="s">
        <v>154</v>
      </c>
      <c r="B324" s="16" t="s">
        <v>319</v>
      </c>
      <c r="C324" s="16" t="s">
        <v>332</v>
      </c>
      <c r="D324" s="16"/>
      <c r="E324" s="2">
        <f>E325+E332</f>
        <v>9559.5999999999985</v>
      </c>
      <c r="F324" s="2">
        <f>F325+F332</f>
        <v>9831.5</v>
      </c>
      <c r="G324" s="2">
        <f>G325+G332</f>
        <v>9831.5</v>
      </c>
    </row>
    <row r="325" spans="1:7" ht="47.25" outlineLevel="2" x14ac:dyDescent="0.25">
      <c r="A325" s="47" t="s">
        <v>333</v>
      </c>
      <c r="B325" s="16" t="s">
        <v>319</v>
      </c>
      <c r="C325" s="16" t="s">
        <v>334</v>
      </c>
      <c r="D325" s="16"/>
      <c r="E325" s="10">
        <f>E326+E328+E330</f>
        <v>1845.5</v>
      </c>
      <c r="F325" s="10">
        <f t="shared" ref="F325:G325" si="85">F326+F328+F330</f>
        <v>793.9</v>
      </c>
      <c r="G325" s="10">
        <f t="shared" si="85"/>
        <v>793.9</v>
      </c>
    </row>
    <row r="326" spans="1:7" outlineLevel="2" x14ac:dyDescent="0.25">
      <c r="A326" s="47" t="s">
        <v>335</v>
      </c>
      <c r="B326" s="16" t="s">
        <v>319</v>
      </c>
      <c r="C326" s="16" t="s">
        <v>336</v>
      </c>
      <c r="D326" s="16"/>
      <c r="E326" s="10">
        <f>E327</f>
        <v>814.40000000000009</v>
      </c>
      <c r="F326" s="10">
        <f t="shared" ref="F326:G326" si="86">F327</f>
        <v>793.9</v>
      </c>
      <c r="G326" s="10">
        <f t="shared" si="86"/>
        <v>793.9</v>
      </c>
    </row>
    <row r="327" spans="1:7" ht="31.5" outlineLevel="2" x14ac:dyDescent="0.25">
      <c r="A327" s="47" t="s">
        <v>76</v>
      </c>
      <c r="B327" s="16" t="s">
        <v>319</v>
      </c>
      <c r="C327" s="16" t="s">
        <v>336</v>
      </c>
      <c r="D327" s="16">
        <v>200</v>
      </c>
      <c r="E327" s="2">
        <f>1047.2-232.8</f>
        <v>814.40000000000009</v>
      </c>
      <c r="F327" s="2">
        <v>793.9</v>
      </c>
      <c r="G327" s="2">
        <v>793.9</v>
      </c>
    </row>
    <row r="328" spans="1:7" ht="47.25" outlineLevel="2" x14ac:dyDescent="0.25">
      <c r="A328" s="43" t="s">
        <v>750</v>
      </c>
      <c r="B328" s="9" t="s">
        <v>319</v>
      </c>
      <c r="C328" s="9" t="s">
        <v>751</v>
      </c>
      <c r="D328" s="9"/>
      <c r="E328" s="2">
        <f>E329</f>
        <v>180</v>
      </c>
      <c r="F328" s="2">
        <f t="shared" ref="F328:G328" si="87">F329</f>
        <v>0</v>
      </c>
      <c r="G328" s="2">
        <f t="shared" si="87"/>
        <v>0</v>
      </c>
    </row>
    <row r="329" spans="1:7" ht="31.5" outlineLevel="2" x14ac:dyDescent="0.25">
      <c r="A329" s="43" t="s">
        <v>76</v>
      </c>
      <c r="B329" s="9" t="s">
        <v>319</v>
      </c>
      <c r="C329" s="9" t="s">
        <v>751</v>
      </c>
      <c r="D329" s="9">
        <v>200</v>
      </c>
      <c r="E329" s="2">
        <f>448.9-268.9</f>
        <v>180</v>
      </c>
      <c r="F329" s="2">
        <v>0</v>
      </c>
      <c r="G329" s="2">
        <v>0</v>
      </c>
    </row>
    <row r="330" spans="1:7" outlineLevel="2" x14ac:dyDescent="0.25">
      <c r="A330" s="43" t="s">
        <v>337</v>
      </c>
      <c r="B330" s="9" t="s">
        <v>319</v>
      </c>
      <c r="C330" s="9" t="s">
        <v>752</v>
      </c>
      <c r="D330" s="9"/>
      <c r="E330" s="10">
        <f>E331</f>
        <v>851.1</v>
      </c>
      <c r="F330" s="10">
        <f t="shared" ref="F330:G330" si="88">F331</f>
        <v>0</v>
      </c>
      <c r="G330" s="10">
        <f t="shared" si="88"/>
        <v>0</v>
      </c>
    </row>
    <row r="331" spans="1:7" ht="31.5" outlineLevel="2" x14ac:dyDescent="0.25">
      <c r="A331" s="43" t="s">
        <v>76</v>
      </c>
      <c r="B331" s="9" t="s">
        <v>319</v>
      </c>
      <c r="C331" s="9" t="s">
        <v>752</v>
      </c>
      <c r="D331" s="9">
        <v>200</v>
      </c>
      <c r="E331" s="10">
        <v>851.1</v>
      </c>
      <c r="F331" s="10">
        <v>0</v>
      </c>
      <c r="G331" s="10">
        <v>0</v>
      </c>
    </row>
    <row r="332" spans="1:7" ht="47.25" outlineLevel="2" x14ac:dyDescent="0.25">
      <c r="A332" s="47" t="s">
        <v>338</v>
      </c>
      <c r="B332" s="16" t="s">
        <v>319</v>
      </c>
      <c r="C332" s="16" t="s">
        <v>339</v>
      </c>
      <c r="D332" s="16"/>
      <c r="E332" s="2">
        <f>E333+E335</f>
        <v>7714.0999999999995</v>
      </c>
      <c r="F332" s="2">
        <f>F333+F335</f>
        <v>9037.6</v>
      </c>
      <c r="G332" s="2">
        <f>G333+G335</f>
        <v>9037.6</v>
      </c>
    </row>
    <row r="333" spans="1:7" ht="78.75" outlineLevel="2" x14ac:dyDescent="0.25">
      <c r="A333" s="47" t="s">
        <v>340</v>
      </c>
      <c r="B333" s="16" t="s">
        <v>319</v>
      </c>
      <c r="C333" s="16" t="s">
        <v>341</v>
      </c>
      <c r="D333" s="16"/>
      <c r="E333" s="10">
        <f>E334</f>
        <v>3521.2</v>
      </c>
      <c r="F333" s="10">
        <f>F334</f>
        <v>1668</v>
      </c>
      <c r="G333" s="10">
        <f>G334</f>
        <v>1668</v>
      </c>
    </row>
    <row r="334" spans="1:7" ht="31.5" outlineLevel="2" x14ac:dyDescent="0.25">
      <c r="A334" s="47" t="s">
        <v>76</v>
      </c>
      <c r="B334" s="16" t="s">
        <v>319</v>
      </c>
      <c r="C334" s="16" t="s">
        <v>341</v>
      </c>
      <c r="D334" s="16">
        <v>200</v>
      </c>
      <c r="E334" s="10">
        <v>3521.2</v>
      </c>
      <c r="F334" s="10">
        <v>1668</v>
      </c>
      <c r="G334" s="10">
        <v>1668</v>
      </c>
    </row>
    <row r="335" spans="1:7" ht="47.25" outlineLevel="2" x14ac:dyDescent="0.25">
      <c r="A335" s="47" t="s">
        <v>342</v>
      </c>
      <c r="B335" s="16" t="s">
        <v>319</v>
      </c>
      <c r="C335" s="16" t="s">
        <v>343</v>
      </c>
      <c r="D335" s="16"/>
      <c r="E335" s="2">
        <f>E336</f>
        <v>4192.8999999999996</v>
      </c>
      <c r="F335" s="2">
        <f>F336</f>
        <v>7369.6</v>
      </c>
      <c r="G335" s="2">
        <f>G336</f>
        <v>7369.6</v>
      </c>
    </row>
    <row r="336" spans="1:7" ht="31.5" outlineLevel="2" x14ac:dyDescent="0.25">
      <c r="A336" s="47" t="s">
        <v>76</v>
      </c>
      <c r="B336" s="16" t="s">
        <v>319</v>
      </c>
      <c r="C336" s="16" t="s">
        <v>343</v>
      </c>
      <c r="D336" s="16">
        <v>200</v>
      </c>
      <c r="E336" s="10">
        <f>7737.2-3544.3</f>
        <v>4192.8999999999996</v>
      </c>
      <c r="F336" s="10">
        <v>7369.6</v>
      </c>
      <c r="G336" s="10">
        <v>7369.6</v>
      </c>
    </row>
    <row r="337" spans="1:7" x14ac:dyDescent="0.25">
      <c r="A337" s="51" t="s">
        <v>344</v>
      </c>
      <c r="B337" s="18" t="s">
        <v>51</v>
      </c>
      <c r="C337" s="18"/>
      <c r="D337" s="23"/>
      <c r="E337" s="8">
        <f>E338+E376+E541+E635</f>
        <v>5579579.4000000004</v>
      </c>
      <c r="F337" s="8">
        <f>F338+F376+F541+F635</f>
        <v>6096247.2999999998</v>
      </c>
      <c r="G337" s="8">
        <f>G338+G376+G541+G635</f>
        <v>5607729</v>
      </c>
    </row>
    <row r="338" spans="1:7" outlineLevel="1" x14ac:dyDescent="0.25">
      <c r="A338" s="48" t="s">
        <v>52</v>
      </c>
      <c r="B338" s="12" t="s">
        <v>53</v>
      </c>
      <c r="C338" s="12"/>
      <c r="D338" s="13"/>
      <c r="E338" s="10">
        <f t="shared" ref="E338:G338" si="89">E354+E339</f>
        <v>104515.79999999999</v>
      </c>
      <c r="F338" s="10">
        <f t="shared" si="89"/>
        <v>22899.3</v>
      </c>
      <c r="G338" s="10">
        <f t="shared" si="89"/>
        <v>18884.099999999999</v>
      </c>
    </row>
    <row r="339" spans="1:7" ht="47.25" outlineLevel="2" x14ac:dyDescent="0.25">
      <c r="A339" s="46" t="s">
        <v>59</v>
      </c>
      <c r="B339" s="12" t="s">
        <v>53</v>
      </c>
      <c r="C339" s="12" t="s">
        <v>60</v>
      </c>
      <c r="D339" s="13"/>
      <c r="E339" s="10">
        <f>E350+E340</f>
        <v>73902.7</v>
      </c>
      <c r="F339" s="10">
        <f>F350</f>
        <v>1024.8</v>
      </c>
      <c r="G339" s="10">
        <f>G350</f>
        <v>1024.8</v>
      </c>
    </row>
    <row r="340" spans="1:7" outlineLevel="2" x14ac:dyDescent="0.25">
      <c r="A340" s="11" t="s">
        <v>227</v>
      </c>
      <c r="B340" s="9" t="s">
        <v>53</v>
      </c>
      <c r="C340" s="9" t="s">
        <v>686</v>
      </c>
      <c r="D340" s="9"/>
      <c r="E340" s="10">
        <f t="shared" ref="E340:G348" si="90">E341</f>
        <v>66740.2</v>
      </c>
      <c r="F340" s="10">
        <f t="shared" si="90"/>
        <v>0</v>
      </c>
      <c r="G340" s="10">
        <f t="shared" si="90"/>
        <v>0</v>
      </c>
    </row>
    <row r="341" spans="1:7" ht="31.5" outlineLevel="2" x14ac:dyDescent="0.25">
      <c r="A341" s="11" t="s">
        <v>684</v>
      </c>
      <c r="B341" s="9" t="s">
        <v>53</v>
      </c>
      <c r="C341" s="9" t="s">
        <v>687</v>
      </c>
      <c r="D341" s="9"/>
      <c r="E341" s="10">
        <f>E348+E342+E345</f>
        <v>66740.2</v>
      </c>
      <c r="F341" s="10">
        <f t="shared" ref="F341:G341" si="91">F348+F342+F345</f>
        <v>0</v>
      </c>
      <c r="G341" s="10">
        <f t="shared" si="91"/>
        <v>0</v>
      </c>
    </row>
    <row r="342" spans="1:7" ht="31.5" outlineLevel="2" x14ac:dyDescent="0.25">
      <c r="A342" s="11" t="s">
        <v>765</v>
      </c>
      <c r="B342" s="9" t="s">
        <v>53</v>
      </c>
      <c r="C342" s="9" t="s">
        <v>766</v>
      </c>
      <c r="D342" s="9"/>
      <c r="E342" s="10">
        <f>+E343+E344</f>
        <v>30477.8</v>
      </c>
      <c r="F342" s="10">
        <f t="shared" ref="F342:G342" si="92">+F343+F344</f>
        <v>0</v>
      </c>
      <c r="G342" s="10">
        <f t="shared" si="92"/>
        <v>0</v>
      </c>
    </row>
    <row r="343" spans="1:7" ht="47.25" outlineLevel="2" x14ac:dyDescent="0.25">
      <c r="A343" s="40" t="s">
        <v>308</v>
      </c>
      <c r="B343" s="9" t="s">
        <v>53</v>
      </c>
      <c r="C343" s="9" t="s">
        <v>766</v>
      </c>
      <c r="D343" s="9" t="s">
        <v>461</v>
      </c>
      <c r="E343" s="10">
        <f>27538.6-3077.7+4996</f>
        <v>29456.899999999998</v>
      </c>
      <c r="F343" s="10">
        <v>0</v>
      </c>
      <c r="G343" s="10">
        <v>0</v>
      </c>
    </row>
    <row r="344" spans="1:7" outlineLevel="2" x14ac:dyDescent="0.25">
      <c r="A344" s="46" t="s">
        <v>33</v>
      </c>
      <c r="B344" s="9" t="s">
        <v>53</v>
      </c>
      <c r="C344" s="9" t="s">
        <v>766</v>
      </c>
      <c r="D344" s="9" t="s">
        <v>522</v>
      </c>
      <c r="E344" s="10">
        <f>23+997.9</f>
        <v>1020.9</v>
      </c>
      <c r="F344" s="10">
        <v>0</v>
      </c>
      <c r="G344" s="10">
        <v>0</v>
      </c>
    </row>
    <row r="345" spans="1:7" ht="31.5" outlineLevel="2" x14ac:dyDescent="0.25">
      <c r="A345" s="46" t="s">
        <v>765</v>
      </c>
      <c r="B345" s="9" t="s">
        <v>53</v>
      </c>
      <c r="C345" s="9" t="s">
        <v>772</v>
      </c>
      <c r="D345" s="9"/>
      <c r="E345" s="10">
        <f>+E346+E347</f>
        <v>30912.000000000004</v>
      </c>
      <c r="F345" s="10">
        <f t="shared" ref="F345:G345" si="93">+F346+F347</f>
        <v>0</v>
      </c>
      <c r="G345" s="10">
        <f t="shared" si="93"/>
        <v>0</v>
      </c>
    </row>
    <row r="346" spans="1:7" ht="47.25" outlineLevel="2" x14ac:dyDescent="0.25">
      <c r="A346" s="50" t="s">
        <v>308</v>
      </c>
      <c r="B346" s="9" t="s">
        <v>53</v>
      </c>
      <c r="C346" s="9" t="s">
        <v>772</v>
      </c>
      <c r="D346" s="9" t="s">
        <v>461</v>
      </c>
      <c r="E346" s="10">
        <f>3187.3+11165.2+12832.2-0.1</f>
        <v>27184.600000000002</v>
      </c>
      <c r="F346" s="10">
        <v>0</v>
      </c>
      <c r="G346" s="10">
        <v>0</v>
      </c>
    </row>
    <row r="347" spans="1:7" outlineLevel="2" x14ac:dyDescent="0.25">
      <c r="A347" s="61" t="s">
        <v>33</v>
      </c>
      <c r="B347" s="33" t="s">
        <v>53</v>
      </c>
      <c r="C347" s="9" t="s">
        <v>772</v>
      </c>
      <c r="D347" s="33" t="s">
        <v>522</v>
      </c>
      <c r="E347" s="10">
        <f>1164.4+2563</f>
        <v>3727.4</v>
      </c>
      <c r="F347" s="10">
        <v>0</v>
      </c>
      <c r="G347" s="10">
        <v>0</v>
      </c>
    </row>
    <row r="348" spans="1:7" ht="47.25" outlineLevel="2" x14ac:dyDescent="0.25">
      <c r="A348" s="11" t="s">
        <v>685</v>
      </c>
      <c r="B348" s="9" t="s">
        <v>53</v>
      </c>
      <c r="C348" s="9" t="s">
        <v>688</v>
      </c>
      <c r="D348" s="9"/>
      <c r="E348" s="10">
        <f t="shared" si="90"/>
        <v>5350.4</v>
      </c>
      <c r="F348" s="10">
        <v>0</v>
      </c>
      <c r="G348" s="10">
        <f t="shared" si="90"/>
        <v>0</v>
      </c>
    </row>
    <row r="349" spans="1:7" ht="47.25" outlineLevel="2" x14ac:dyDescent="0.25">
      <c r="A349" s="40" t="s">
        <v>308</v>
      </c>
      <c r="B349" s="9" t="s">
        <v>53</v>
      </c>
      <c r="C349" s="9" t="s">
        <v>688</v>
      </c>
      <c r="D349" s="9" t="s">
        <v>461</v>
      </c>
      <c r="E349" s="10">
        <v>5350.4</v>
      </c>
      <c r="F349" s="10">
        <v>0</v>
      </c>
      <c r="G349" s="10">
        <v>0</v>
      </c>
    </row>
    <row r="350" spans="1:7" outlineLevel="2" x14ac:dyDescent="0.25">
      <c r="A350" s="47" t="s">
        <v>144</v>
      </c>
      <c r="B350" s="16" t="s">
        <v>53</v>
      </c>
      <c r="C350" s="16" t="s">
        <v>135</v>
      </c>
      <c r="D350" s="13"/>
      <c r="E350" s="10">
        <f>E351</f>
        <v>7162.5</v>
      </c>
      <c r="F350" s="10">
        <f t="shared" ref="F350:G352" si="94">F351</f>
        <v>1024.8</v>
      </c>
      <c r="G350" s="10">
        <f t="shared" si="94"/>
        <v>1024.8</v>
      </c>
    </row>
    <row r="351" spans="1:7" ht="110.25" outlineLevel="2" x14ac:dyDescent="0.25">
      <c r="A351" s="46" t="s">
        <v>497</v>
      </c>
      <c r="B351" s="12" t="s">
        <v>53</v>
      </c>
      <c r="C351" s="12" t="s">
        <v>398</v>
      </c>
      <c r="D351" s="13"/>
      <c r="E351" s="10">
        <f>E352</f>
        <v>7162.5</v>
      </c>
      <c r="F351" s="10">
        <f t="shared" si="94"/>
        <v>1024.8</v>
      </c>
      <c r="G351" s="10">
        <f t="shared" si="94"/>
        <v>1024.8</v>
      </c>
    </row>
    <row r="352" spans="1:7" outlineLevel="2" x14ac:dyDescent="0.25">
      <c r="A352" s="46" t="s">
        <v>399</v>
      </c>
      <c r="B352" s="12" t="s">
        <v>53</v>
      </c>
      <c r="C352" s="12" t="s">
        <v>400</v>
      </c>
      <c r="D352" s="13"/>
      <c r="E352" s="10">
        <f>E353</f>
        <v>7162.5</v>
      </c>
      <c r="F352" s="10">
        <f t="shared" si="94"/>
        <v>1024.8</v>
      </c>
      <c r="G352" s="10">
        <f t="shared" si="94"/>
        <v>1024.8</v>
      </c>
    </row>
    <row r="353" spans="1:7" ht="31.5" outlineLevel="2" x14ac:dyDescent="0.25">
      <c r="A353" s="50" t="s">
        <v>76</v>
      </c>
      <c r="B353" s="12" t="s">
        <v>53</v>
      </c>
      <c r="C353" s="12" t="s">
        <v>400</v>
      </c>
      <c r="D353" s="13">
        <v>200</v>
      </c>
      <c r="E353" s="10">
        <f>8162.5-1000</f>
        <v>7162.5</v>
      </c>
      <c r="F353" s="10">
        <v>1024.8</v>
      </c>
      <c r="G353" s="10">
        <v>1024.8</v>
      </c>
    </row>
    <row r="354" spans="1:7" ht="78.75" outlineLevel="2" x14ac:dyDescent="0.25">
      <c r="A354" s="48" t="s">
        <v>345</v>
      </c>
      <c r="B354" s="12" t="s">
        <v>53</v>
      </c>
      <c r="C354" s="12" t="s">
        <v>54</v>
      </c>
      <c r="D354" s="13"/>
      <c r="E354" s="10">
        <f>E355+E369</f>
        <v>30613.1</v>
      </c>
      <c r="F354" s="10">
        <f>F355+F369</f>
        <v>21874.5</v>
      </c>
      <c r="G354" s="10">
        <f>G355+G369</f>
        <v>17859.3</v>
      </c>
    </row>
    <row r="355" spans="1:7" ht="31.5" outlineLevel="2" x14ac:dyDescent="0.25">
      <c r="A355" s="47" t="s">
        <v>154</v>
      </c>
      <c r="B355" s="16" t="s">
        <v>53</v>
      </c>
      <c r="C355" s="16" t="s">
        <v>346</v>
      </c>
      <c r="D355" s="13"/>
      <c r="E355" s="10">
        <f>E356</f>
        <v>13350.6</v>
      </c>
      <c r="F355" s="10">
        <f>F356</f>
        <v>4015.2</v>
      </c>
      <c r="G355" s="10">
        <f>G356</f>
        <v>0</v>
      </c>
    </row>
    <row r="356" spans="1:7" ht="31.5" outlineLevel="2" x14ac:dyDescent="0.25">
      <c r="A356" s="47" t="s">
        <v>347</v>
      </c>
      <c r="B356" s="12" t="s">
        <v>53</v>
      </c>
      <c r="C356" s="12" t="s">
        <v>348</v>
      </c>
      <c r="D356" s="13"/>
      <c r="E356" s="10">
        <f>E357+E359+E361+E367+E363+E365</f>
        <v>13350.6</v>
      </c>
      <c r="F356" s="10">
        <f t="shared" ref="F356:G356" si="95">F357+F359+F361+F367+F363+F365</f>
        <v>4015.2</v>
      </c>
      <c r="G356" s="10">
        <f t="shared" si="95"/>
        <v>0</v>
      </c>
    </row>
    <row r="357" spans="1:7" outlineLevel="2" x14ac:dyDescent="0.25">
      <c r="A357" s="11" t="s">
        <v>349</v>
      </c>
      <c r="B357" s="12" t="s">
        <v>53</v>
      </c>
      <c r="C357" s="12" t="s">
        <v>350</v>
      </c>
      <c r="D357" s="13"/>
      <c r="E357" s="10">
        <f>E358</f>
        <v>1092.5</v>
      </c>
      <c r="F357" s="10">
        <f>F358</f>
        <v>0</v>
      </c>
      <c r="G357" s="10">
        <f t="shared" ref="G357" si="96">G358</f>
        <v>0</v>
      </c>
    </row>
    <row r="358" spans="1:7" ht="31.5" outlineLevel="2" x14ac:dyDescent="0.25">
      <c r="A358" s="47" t="s">
        <v>76</v>
      </c>
      <c r="B358" s="12" t="s">
        <v>53</v>
      </c>
      <c r="C358" s="12" t="s">
        <v>350</v>
      </c>
      <c r="D358" s="1">
        <v>200</v>
      </c>
      <c r="E358" s="10">
        <f>9903-4795.3-4015.2</f>
        <v>1092.5</v>
      </c>
      <c r="F358" s="10">
        <v>0</v>
      </c>
      <c r="G358" s="10">
        <v>0</v>
      </c>
    </row>
    <row r="359" spans="1:7" ht="31.5" outlineLevel="2" x14ac:dyDescent="0.25">
      <c r="A359" s="43" t="s">
        <v>680</v>
      </c>
      <c r="B359" s="9" t="s">
        <v>53</v>
      </c>
      <c r="C359" s="9" t="s">
        <v>681</v>
      </c>
      <c r="D359" s="9"/>
      <c r="E359" s="10">
        <f t="shared" ref="E359:G359" si="97">E360</f>
        <v>219.5</v>
      </c>
      <c r="F359" s="10">
        <f t="shared" si="97"/>
        <v>0</v>
      </c>
      <c r="G359" s="10">
        <f t="shared" si="97"/>
        <v>0</v>
      </c>
    </row>
    <row r="360" spans="1:7" ht="31.5" outlineLevel="2" x14ac:dyDescent="0.25">
      <c r="A360" s="43" t="s">
        <v>76</v>
      </c>
      <c r="B360" s="9" t="s">
        <v>53</v>
      </c>
      <c r="C360" s="9" t="s">
        <v>681</v>
      </c>
      <c r="D360" s="9">
        <v>200</v>
      </c>
      <c r="E360" s="10">
        <v>219.5</v>
      </c>
      <c r="F360" s="10">
        <v>0</v>
      </c>
      <c r="G360" s="10">
        <v>0</v>
      </c>
    </row>
    <row r="361" spans="1:7" ht="47.25" outlineLevel="2" x14ac:dyDescent="0.25">
      <c r="A361" s="43" t="s">
        <v>510</v>
      </c>
      <c r="B361" s="9" t="s">
        <v>53</v>
      </c>
      <c r="C361" s="9" t="s">
        <v>511</v>
      </c>
      <c r="D361" s="9"/>
      <c r="E361" s="10">
        <f>E362</f>
        <v>3196.1</v>
      </c>
      <c r="F361" s="10">
        <f>F362</f>
        <v>4015.2</v>
      </c>
      <c r="G361" s="10">
        <f t="shared" ref="G361" si="98">G362</f>
        <v>0</v>
      </c>
    </row>
    <row r="362" spans="1:7" ht="31.5" outlineLevel="2" x14ac:dyDescent="0.25">
      <c r="A362" s="43" t="s">
        <v>76</v>
      </c>
      <c r="B362" s="9" t="s">
        <v>53</v>
      </c>
      <c r="C362" s="9" t="s">
        <v>511</v>
      </c>
      <c r="D362" s="9">
        <v>200</v>
      </c>
      <c r="E362" s="10">
        <f>4408.9-4593.4+3380.6</f>
        <v>3196.1</v>
      </c>
      <c r="F362" s="10">
        <v>4015.2</v>
      </c>
      <c r="G362" s="10">
        <v>0</v>
      </c>
    </row>
    <row r="363" spans="1:7" ht="47.25" outlineLevel="2" x14ac:dyDescent="0.25">
      <c r="A363" s="43" t="s">
        <v>740</v>
      </c>
      <c r="B363" s="9" t="s">
        <v>53</v>
      </c>
      <c r="C363" s="9" t="s">
        <v>741</v>
      </c>
      <c r="D363" s="9"/>
      <c r="E363" s="10">
        <f>E364</f>
        <v>501.6</v>
      </c>
      <c r="F363" s="10">
        <f t="shared" ref="F363:G363" si="99">F364</f>
        <v>0</v>
      </c>
      <c r="G363" s="10">
        <f t="shared" si="99"/>
        <v>0</v>
      </c>
    </row>
    <row r="364" spans="1:7" ht="31.5" outlineLevel="2" x14ac:dyDescent="0.25">
      <c r="A364" s="43" t="s">
        <v>76</v>
      </c>
      <c r="B364" s="9" t="s">
        <v>53</v>
      </c>
      <c r="C364" s="9" t="s">
        <v>741</v>
      </c>
      <c r="D364" s="9" t="s">
        <v>39</v>
      </c>
      <c r="E364" s="10">
        <v>501.6</v>
      </c>
      <c r="F364" s="10">
        <v>0</v>
      </c>
      <c r="G364" s="10">
        <v>0</v>
      </c>
    </row>
    <row r="365" spans="1:7" ht="31.5" outlineLevel="2" x14ac:dyDescent="0.25">
      <c r="A365" s="43" t="s">
        <v>770</v>
      </c>
      <c r="B365" s="9" t="s">
        <v>53</v>
      </c>
      <c r="C365" s="9" t="s">
        <v>771</v>
      </c>
      <c r="D365" s="9"/>
      <c r="E365" s="10">
        <f>+E366</f>
        <v>540.9</v>
      </c>
      <c r="F365" s="10">
        <f t="shared" ref="F365:G365" si="100">+F366</f>
        <v>0</v>
      </c>
      <c r="G365" s="10">
        <f t="shared" si="100"/>
        <v>0</v>
      </c>
    </row>
    <row r="366" spans="1:7" ht="31.5" outlineLevel="2" x14ac:dyDescent="0.25">
      <c r="A366" s="43" t="s">
        <v>76</v>
      </c>
      <c r="B366" s="9" t="s">
        <v>53</v>
      </c>
      <c r="C366" s="9" t="s">
        <v>771</v>
      </c>
      <c r="D366" s="9">
        <v>200</v>
      </c>
      <c r="E366" s="10">
        <v>540.9</v>
      </c>
      <c r="F366" s="10">
        <v>0</v>
      </c>
      <c r="G366" s="10">
        <v>0</v>
      </c>
    </row>
    <row r="367" spans="1:7" ht="31.5" outlineLevel="2" x14ac:dyDescent="0.25">
      <c r="A367" s="46" t="s">
        <v>682</v>
      </c>
      <c r="B367" s="9" t="s">
        <v>53</v>
      </c>
      <c r="C367" s="9" t="s">
        <v>683</v>
      </c>
      <c r="D367" s="9"/>
      <c r="E367" s="10">
        <f t="shared" ref="E367:G367" si="101">E368</f>
        <v>7800</v>
      </c>
      <c r="F367" s="10">
        <f t="shared" si="101"/>
        <v>0</v>
      </c>
      <c r="G367" s="10">
        <f t="shared" si="101"/>
        <v>0</v>
      </c>
    </row>
    <row r="368" spans="1:7" outlineLevel="2" x14ac:dyDescent="0.25">
      <c r="A368" s="46" t="s">
        <v>33</v>
      </c>
      <c r="B368" s="9" t="s">
        <v>53</v>
      </c>
      <c r="C368" s="9" t="s">
        <v>683</v>
      </c>
      <c r="D368" s="9" t="s">
        <v>522</v>
      </c>
      <c r="E368" s="10">
        <v>7800</v>
      </c>
      <c r="F368" s="10">
        <v>0</v>
      </c>
      <c r="G368" s="10">
        <v>0</v>
      </c>
    </row>
    <row r="369" spans="1:7" outlineLevel="2" x14ac:dyDescent="0.25">
      <c r="A369" s="47" t="s">
        <v>144</v>
      </c>
      <c r="B369" s="16" t="s">
        <v>53</v>
      </c>
      <c r="C369" s="16" t="s">
        <v>83</v>
      </c>
      <c r="D369" s="1"/>
      <c r="E369" s="10">
        <f>E370+E373</f>
        <v>17262.5</v>
      </c>
      <c r="F369" s="10">
        <f t="shared" ref="F369:G369" si="102">F370+F373</f>
        <v>17859.3</v>
      </c>
      <c r="G369" s="10">
        <f t="shared" si="102"/>
        <v>17859.3</v>
      </c>
    </row>
    <row r="370" spans="1:7" ht="47.25" outlineLevel="2" x14ac:dyDescent="0.25">
      <c r="A370" s="47" t="s">
        <v>381</v>
      </c>
      <c r="B370" s="16" t="s">
        <v>53</v>
      </c>
      <c r="C370" s="16" t="s">
        <v>382</v>
      </c>
      <c r="D370" s="1"/>
      <c r="E370" s="10">
        <f>E371</f>
        <v>2812.5</v>
      </c>
      <c r="F370" s="10">
        <f t="shared" ref="F370:G371" si="103">F371</f>
        <v>4359.3</v>
      </c>
      <c r="G370" s="10">
        <f t="shared" si="103"/>
        <v>4359.3</v>
      </c>
    </row>
    <row r="371" spans="1:7" ht="78.75" outlineLevel="2" x14ac:dyDescent="0.25">
      <c r="A371" s="47" t="s">
        <v>383</v>
      </c>
      <c r="B371" s="16" t="s">
        <v>53</v>
      </c>
      <c r="C371" s="16" t="s">
        <v>384</v>
      </c>
      <c r="D371" s="1"/>
      <c r="E371" s="10">
        <f>E372</f>
        <v>2812.5</v>
      </c>
      <c r="F371" s="10">
        <f t="shared" si="103"/>
        <v>4359.3</v>
      </c>
      <c r="G371" s="10">
        <f t="shared" si="103"/>
        <v>4359.3</v>
      </c>
    </row>
    <row r="372" spans="1:7" outlineLevel="2" x14ac:dyDescent="0.25">
      <c r="A372" s="50" t="s">
        <v>33</v>
      </c>
      <c r="B372" s="12" t="s">
        <v>53</v>
      </c>
      <c r="C372" s="1" t="s">
        <v>384</v>
      </c>
      <c r="D372" s="13">
        <v>800</v>
      </c>
      <c r="E372" s="10">
        <f>3112.1-299.6</f>
        <v>2812.5</v>
      </c>
      <c r="F372" s="10">
        <v>4359.3</v>
      </c>
      <c r="G372" s="10">
        <v>4359.3</v>
      </c>
    </row>
    <row r="373" spans="1:7" ht="78.75" outlineLevel="2" x14ac:dyDescent="0.25">
      <c r="A373" s="42" t="s">
        <v>506</v>
      </c>
      <c r="B373" s="16" t="s">
        <v>53</v>
      </c>
      <c r="C373" s="16" t="s">
        <v>401</v>
      </c>
      <c r="D373" s="13"/>
      <c r="E373" s="10">
        <f>E374</f>
        <v>14450</v>
      </c>
      <c r="F373" s="10">
        <f t="shared" ref="F373:G374" si="104">F374</f>
        <v>13500</v>
      </c>
      <c r="G373" s="10">
        <f t="shared" si="104"/>
        <v>13500</v>
      </c>
    </row>
    <row r="374" spans="1:7" ht="78.75" outlineLevel="2" x14ac:dyDescent="0.25">
      <c r="A374" s="50" t="s">
        <v>402</v>
      </c>
      <c r="B374" s="12" t="s">
        <v>53</v>
      </c>
      <c r="C374" s="12" t="s">
        <v>503</v>
      </c>
      <c r="D374" s="13"/>
      <c r="E374" s="10">
        <f>E375</f>
        <v>14450</v>
      </c>
      <c r="F374" s="10">
        <f t="shared" si="104"/>
        <v>13500</v>
      </c>
      <c r="G374" s="10">
        <f t="shared" si="104"/>
        <v>13500</v>
      </c>
    </row>
    <row r="375" spans="1:7" ht="31.5" outlineLevel="2" x14ac:dyDescent="0.25">
      <c r="A375" s="50" t="s">
        <v>76</v>
      </c>
      <c r="B375" s="12" t="s">
        <v>53</v>
      </c>
      <c r="C375" s="12" t="s">
        <v>503</v>
      </c>
      <c r="D375" s="13">
        <v>200</v>
      </c>
      <c r="E375" s="10">
        <f>13500+950</f>
        <v>14450</v>
      </c>
      <c r="F375" s="10">
        <v>13500</v>
      </c>
      <c r="G375" s="10">
        <v>13500</v>
      </c>
    </row>
    <row r="376" spans="1:7" outlineLevel="1" x14ac:dyDescent="0.25">
      <c r="A376" s="48" t="s">
        <v>55</v>
      </c>
      <c r="B376" s="12" t="s">
        <v>56</v>
      </c>
      <c r="C376" s="12"/>
      <c r="D376" s="1"/>
      <c r="E376" s="10">
        <f>E380+E377</f>
        <v>3505398.7000000007</v>
      </c>
      <c r="F376" s="10">
        <f t="shared" ref="F376:G376" si="105">F380+F377</f>
        <v>5051745.0999999996</v>
      </c>
      <c r="G376" s="10">
        <f t="shared" si="105"/>
        <v>4635325.1000000006</v>
      </c>
    </row>
    <row r="377" spans="1:7" outlineLevel="2" x14ac:dyDescent="0.25">
      <c r="A377" s="48" t="s">
        <v>9</v>
      </c>
      <c r="B377" s="12" t="s">
        <v>56</v>
      </c>
      <c r="C377" s="12" t="s">
        <v>10</v>
      </c>
      <c r="D377" s="12"/>
      <c r="E377" s="10">
        <f>+E378</f>
        <v>14219.9</v>
      </c>
      <c r="F377" s="10">
        <f>+F378</f>
        <v>0</v>
      </c>
      <c r="G377" s="10">
        <f>+G378</f>
        <v>0</v>
      </c>
    </row>
    <row r="378" spans="1:7" ht="31.5" outlineLevel="2" x14ac:dyDescent="0.25">
      <c r="A378" s="48" t="s">
        <v>65</v>
      </c>
      <c r="B378" s="12" t="s">
        <v>56</v>
      </c>
      <c r="C378" s="12" t="s">
        <v>66</v>
      </c>
      <c r="D378" s="12"/>
      <c r="E378" s="10">
        <f>+E379</f>
        <v>14219.9</v>
      </c>
      <c r="F378" s="10">
        <f t="shared" ref="F378:G378" si="106">+F379</f>
        <v>0</v>
      </c>
      <c r="G378" s="10">
        <f t="shared" si="106"/>
        <v>0</v>
      </c>
    </row>
    <row r="379" spans="1:7" ht="31.5" outlineLevel="2" x14ac:dyDescent="0.25">
      <c r="A379" s="43" t="s">
        <v>76</v>
      </c>
      <c r="B379" s="12" t="s">
        <v>56</v>
      </c>
      <c r="C379" s="12" t="s">
        <v>66</v>
      </c>
      <c r="D379" s="12" t="s">
        <v>39</v>
      </c>
      <c r="E379" s="10">
        <f>9837+4382.9</f>
        <v>14219.9</v>
      </c>
      <c r="F379" s="10">
        <v>0</v>
      </c>
      <c r="G379" s="10">
        <v>0</v>
      </c>
    </row>
    <row r="380" spans="1:7" ht="78.75" outlineLevel="2" x14ac:dyDescent="0.25">
      <c r="A380" s="48" t="s">
        <v>345</v>
      </c>
      <c r="B380" s="12" t="s">
        <v>56</v>
      </c>
      <c r="C380" s="12" t="s">
        <v>54</v>
      </c>
      <c r="D380" s="1"/>
      <c r="E380" s="10">
        <f>E385+E525+E381</f>
        <v>3491178.8000000007</v>
      </c>
      <c r="F380" s="10">
        <f>F385+F525+F381</f>
        <v>5051745.0999999996</v>
      </c>
      <c r="G380" s="10">
        <f>G385+G525+G381</f>
        <v>4635325.1000000006</v>
      </c>
    </row>
    <row r="381" spans="1:7" outlineLevel="2" x14ac:dyDescent="0.25">
      <c r="A381" s="43" t="s">
        <v>227</v>
      </c>
      <c r="B381" s="9" t="s">
        <v>56</v>
      </c>
      <c r="C381" s="9" t="s">
        <v>591</v>
      </c>
      <c r="D381" s="9"/>
      <c r="E381" s="10">
        <f>E382</f>
        <v>399741.2</v>
      </c>
      <c r="F381" s="10">
        <f t="shared" ref="F381:G383" si="107">F382</f>
        <v>434566</v>
      </c>
      <c r="G381" s="10">
        <f t="shared" si="107"/>
        <v>540837.30000000005</v>
      </c>
    </row>
    <row r="382" spans="1:7" ht="47.25" outlineLevel="2" x14ac:dyDescent="0.25">
      <c r="A382" s="43" t="s">
        <v>589</v>
      </c>
      <c r="B382" s="9" t="s">
        <v>56</v>
      </c>
      <c r="C382" s="9" t="s">
        <v>592</v>
      </c>
      <c r="D382" s="9"/>
      <c r="E382" s="10">
        <f t="shared" ref="E382:E383" si="108">E383</f>
        <v>399741.2</v>
      </c>
      <c r="F382" s="10">
        <f t="shared" si="107"/>
        <v>434566</v>
      </c>
      <c r="G382" s="10">
        <f t="shared" si="107"/>
        <v>540837.30000000005</v>
      </c>
    </row>
    <row r="383" spans="1:7" ht="31.5" outlineLevel="2" x14ac:dyDescent="0.25">
      <c r="A383" s="43" t="s">
        <v>590</v>
      </c>
      <c r="B383" s="9" t="s">
        <v>56</v>
      </c>
      <c r="C383" s="9" t="s">
        <v>593</v>
      </c>
      <c r="D383" s="9"/>
      <c r="E383" s="10">
        <f t="shared" si="108"/>
        <v>399741.2</v>
      </c>
      <c r="F383" s="10">
        <f t="shared" si="107"/>
        <v>434566</v>
      </c>
      <c r="G383" s="10">
        <f t="shared" si="107"/>
        <v>540837.30000000005</v>
      </c>
    </row>
    <row r="384" spans="1:7" ht="47.25" outlineLevel="2" x14ac:dyDescent="0.25">
      <c r="A384" s="43" t="s">
        <v>308</v>
      </c>
      <c r="B384" s="9" t="s">
        <v>56</v>
      </c>
      <c r="C384" s="9" t="s">
        <v>593</v>
      </c>
      <c r="D384" s="9" t="s">
        <v>461</v>
      </c>
      <c r="E384" s="10">
        <v>399741.2</v>
      </c>
      <c r="F384" s="10">
        <v>434566</v>
      </c>
      <c r="G384" s="10">
        <v>540837.30000000005</v>
      </c>
    </row>
    <row r="385" spans="1:7" ht="31.5" outlineLevel="2" x14ac:dyDescent="0.25">
      <c r="A385" s="47" t="s">
        <v>154</v>
      </c>
      <c r="B385" s="16" t="s">
        <v>56</v>
      </c>
      <c r="C385" s="16" t="s">
        <v>346</v>
      </c>
      <c r="D385" s="1"/>
      <c r="E385" s="10">
        <f>E386+E522</f>
        <v>2628062.9000000004</v>
      </c>
      <c r="F385" s="10">
        <f>F386</f>
        <v>4145366.8</v>
      </c>
      <c r="G385" s="10">
        <f>G386</f>
        <v>3600998.3000000003</v>
      </c>
    </row>
    <row r="386" spans="1:7" ht="47.25" outlineLevel="2" x14ac:dyDescent="0.25">
      <c r="A386" s="47" t="s">
        <v>623</v>
      </c>
      <c r="B386" s="12" t="s">
        <v>56</v>
      </c>
      <c r="C386" s="12" t="s">
        <v>351</v>
      </c>
      <c r="D386" s="1"/>
      <c r="E386" s="10">
        <f>E387+E390+E392+E395+E397+E432+E442+E444+E446+E448+E414+E430+E450+E452+E454+E456+E458+E426+E460+E462+E464+E466+E468+E470+E472+E474+E476+E478+E480+E482+E490+E484+E486+E488+E401+E403+E405+E416+E422+E434+E436+E438+E494+E496+E498+E502+E504+E508+E510+E512+E514+E492+E500+E506+E399+E409+E412+E428+E440+E516+E518+E520</f>
        <v>2610273.9000000004</v>
      </c>
      <c r="F386" s="10">
        <f>F387+F390+F392+F395+F397+F432+F442+F444+F446+F448+F414+F430+F450+F452+F454+F456+F458+F426+F460+F462+F464+F466+F468+F470+F472+F474+F476+F478+F480+F482+F490+F484+F486+F488+F401+F403+F405+F416+F422+F434+F436+F438+F494+F496+F498+F502+F504+F508+F510+F512+F514+F492+F500+F506+F399+F409+F418+F420+F424+F412+F428+F440+F516+F518+F520+F407</f>
        <v>4145366.8</v>
      </c>
      <c r="G386" s="10">
        <f>G387+G390+G392+G395+G397+G432+G442+G444+G446+G448+G414+G430+G450+G452+G454+G456+G458+G426+G460+G462+G464+G466+G468+G470+G472+G474+G476+G478+G480+G482+G490+G484+G486+G488+G401+G403+G405+G416+G422+G434+G436+G438+G494+G496+G498+G502+G504+G508+G510+G512+G514+G492+G500+G506+G399+G409+G418+G420+G424+G412+G428+G440+G516+G518+G520</f>
        <v>3600998.3000000003</v>
      </c>
    </row>
    <row r="387" spans="1:7" ht="78.75" outlineLevel="2" x14ac:dyDescent="0.25">
      <c r="A387" s="62" t="s">
        <v>847</v>
      </c>
      <c r="B387" s="33" t="s">
        <v>56</v>
      </c>
      <c r="C387" s="9" t="s">
        <v>848</v>
      </c>
      <c r="D387" s="33"/>
      <c r="E387" s="10">
        <f>+E388+E389</f>
        <v>1781.3000000000002</v>
      </c>
      <c r="F387" s="10">
        <f t="shared" ref="F387:G387" si="109">+F388+F389</f>
        <v>0</v>
      </c>
      <c r="G387" s="10">
        <f t="shared" si="109"/>
        <v>0</v>
      </c>
    </row>
    <row r="388" spans="1:7" ht="31.5" outlineLevel="2" x14ac:dyDescent="0.25">
      <c r="A388" s="62" t="s">
        <v>76</v>
      </c>
      <c r="B388" s="33" t="s">
        <v>56</v>
      </c>
      <c r="C388" s="9" t="s">
        <v>848</v>
      </c>
      <c r="D388" s="33" t="s">
        <v>39</v>
      </c>
      <c r="E388" s="10">
        <v>8.4</v>
      </c>
      <c r="F388" s="10">
        <v>0</v>
      </c>
      <c r="G388" s="10">
        <v>0</v>
      </c>
    </row>
    <row r="389" spans="1:7" ht="47.25" outlineLevel="2" x14ac:dyDescent="0.25">
      <c r="A389" s="62" t="s">
        <v>308</v>
      </c>
      <c r="B389" s="33" t="s">
        <v>56</v>
      </c>
      <c r="C389" s="9" t="s">
        <v>848</v>
      </c>
      <c r="D389" s="33" t="s">
        <v>461</v>
      </c>
      <c r="E389" s="10">
        <v>1772.9</v>
      </c>
      <c r="F389" s="10">
        <v>0</v>
      </c>
      <c r="G389" s="10">
        <v>0</v>
      </c>
    </row>
    <row r="390" spans="1:7" ht="63" outlineLevel="2" x14ac:dyDescent="0.25">
      <c r="A390" s="52" t="s">
        <v>352</v>
      </c>
      <c r="B390" s="12" t="s">
        <v>56</v>
      </c>
      <c r="C390" s="12" t="s">
        <v>353</v>
      </c>
      <c r="D390" s="1"/>
      <c r="E390" s="10">
        <f>E391</f>
        <v>147.99999999999855</v>
      </c>
      <c r="F390" s="10">
        <f t="shared" ref="F390:G390" si="110">F391</f>
        <v>0</v>
      </c>
      <c r="G390" s="10">
        <f t="shared" si="110"/>
        <v>0</v>
      </c>
    </row>
    <row r="391" spans="1:7" ht="47.25" outlineLevel="2" x14ac:dyDescent="0.25">
      <c r="A391" s="52" t="s">
        <v>308</v>
      </c>
      <c r="B391" s="12" t="s">
        <v>56</v>
      </c>
      <c r="C391" s="12" t="s">
        <v>353</v>
      </c>
      <c r="D391" s="1">
        <v>400</v>
      </c>
      <c r="E391" s="10">
        <f>12386.9-2517.3-9721.5-0.1</f>
        <v>147.99999999999855</v>
      </c>
      <c r="F391" s="10">
        <v>0</v>
      </c>
      <c r="G391" s="10">
        <v>0</v>
      </c>
    </row>
    <row r="392" spans="1:7" ht="94.5" outlineLevel="2" x14ac:dyDescent="0.25">
      <c r="A392" s="52" t="s">
        <v>491</v>
      </c>
      <c r="B392" s="12" t="s">
        <v>56</v>
      </c>
      <c r="C392" s="12" t="s">
        <v>354</v>
      </c>
      <c r="D392" s="1"/>
      <c r="E392" s="10">
        <f>E394+E393</f>
        <v>8067.5</v>
      </c>
      <c r="F392" s="10">
        <f t="shared" ref="F392:G392" si="111">F394+F393</f>
        <v>0</v>
      </c>
      <c r="G392" s="10">
        <f t="shared" si="111"/>
        <v>0</v>
      </c>
    </row>
    <row r="393" spans="1:7" ht="31.5" outlineLevel="2" x14ac:dyDescent="0.25">
      <c r="A393" s="43" t="s">
        <v>76</v>
      </c>
      <c r="B393" s="9" t="s">
        <v>56</v>
      </c>
      <c r="C393" s="9" t="s">
        <v>354</v>
      </c>
      <c r="D393" s="9" t="s">
        <v>39</v>
      </c>
      <c r="E393" s="10">
        <v>0.2</v>
      </c>
      <c r="F393" s="10">
        <v>0</v>
      </c>
      <c r="G393" s="10">
        <v>0</v>
      </c>
    </row>
    <row r="394" spans="1:7" ht="47.25" outlineLevel="2" x14ac:dyDescent="0.25">
      <c r="A394" s="52" t="s">
        <v>308</v>
      </c>
      <c r="B394" s="12" t="s">
        <v>56</v>
      </c>
      <c r="C394" s="12" t="s">
        <v>354</v>
      </c>
      <c r="D394" s="1">
        <v>400</v>
      </c>
      <c r="E394" s="10">
        <v>8067.3</v>
      </c>
      <c r="F394" s="10">
        <v>0</v>
      </c>
      <c r="G394" s="10">
        <v>0</v>
      </c>
    </row>
    <row r="395" spans="1:7" ht="31.5" outlineLevel="2" x14ac:dyDescent="0.25">
      <c r="A395" s="52" t="s">
        <v>355</v>
      </c>
      <c r="B395" s="12" t="s">
        <v>56</v>
      </c>
      <c r="C395" s="12" t="s">
        <v>356</v>
      </c>
      <c r="D395" s="1"/>
      <c r="E395" s="10">
        <f>E396</f>
        <v>14587.8</v>
      </c>
      <c r="F395" s="10">
        <f t="shared" ref="F395:G395" si="112">F396</f>
        <v>0</v>
      </c>
      <c r="G395" s="10">
        <f t="shared" si="112"/>
        <v>0</v>
      </c>
    </row>
    <row r="396" spans="1:7" ht="31.5" outlineLevel="2" x14ac:dyDescent="0.25">
      <c r="A396" s="47" t="s">
        <v>76</v>
      </c>
      <c r="B396" s="12" t="s">
        <v>56</v>
      </c>
      <c r="C396" s="12" t="s">
        <v>356</v>
      </c>
      <c r="D396" s="1">
        <v>200</v>
      </c>
      <c r="E396" s="10">
        <v>14587.8</v>
      </c>
      <c r="F396" s="10">
        <v>0</v>
      </c>
      <c r="G396" s="10">
        <v>0</v>
      </c>
    </row>
    <row r="397" spans="1:7" ht="31.5" outlineLevel="2" x14ac:dyDescent="0.25">
      <c r="A397" s="52" t="s">
        <v>357</v>
      </c>
      <c r="B397" s="12" t="s">
        <v>56</v>
      </c>
      <c r="C397" s="12" t="s">
        <v>358</v>
      </c>
      <c r="D397" s="1"/>
      <c r="E397" s="10">
        <f>E398</f>
        <v>150</v>
      </c>
      <c r="F397" s="10">
        <f t="shared" ref="F397:G397" si="113">F398</f>
        <v>0</v>
      </c>
      <c r="G397" s="10">
        <f t="shared" si="113"/>
        <v>0</v>
      </c>
    </row>
    <row r="398" spans="1:7" ht="47.25" outlineLevel="2" x14ac:dyDescent="0.25">
      <c r="A398" s="52" t="s">
        <v>308</v>
      </c>
      <c r="B398" s="12" t="s">
        <v>56</v>
      </c>
      <c r="C398" s="12" t="s">
        <v>358</v>
      </c>
      <c r="D398" s="1">
        <v>400</v>
      </c>
      <c r="E398" s="10">
        <f>200-50</f>
        <v>150</v>
      </c>
      <c r="F398" s="10">
        <v>0</v>
      </c>
      <c r="G398" s="10">
        <v>0</v>
      </c>
    </row>
    <row r="399" spans="1:7" ht="47.25" outlineLevel="2" x14ac:dyDescent="0.25">
      <c r="A399" s="48" t="s">
        <v>813</v>
      </c>
      <c r="B399" s="9" t="s">
        <v>56</v>
      </c>
      <c r="C399" s="9" t="s">
        <v>814</v>
      </c>
      <c r="D399" s="9"/>
      <c r="E399" s="10">
        <f>+E400</f>
        <v>360</v>
      </c>
      <c r="F399" s="10">
        <f t="shared" ref="F399:G399" si="114">+F400</f>
        <v>0</v>
      </c>
      <c r="G399" s="10">
        <f t="shared" si="114"/>
        <v>0</v>
      </c>
    </row>
    <row r="400" spans="1:7" ht="31.5" outlineLevel="2" x14ac:dyDescent="0.25">
      <c r="A400" s="48" t="s">
        <v>76</v>
      </c>
      <c r="B400" s="9" t="s">
        <v>56</v>
      </c>
      <c r="C400" s="9" t="s">
        <v>814</v>
      </c>
      <c r="D400" s="9" t="s">
        <v>39</v>
      </c>
      <c r="E400" s="10">
        <v>360</v>
      </c>
      <c r="F400" s="10">
        <v>0</v>
      </c>
      <c r="G400" s="10">
        <v>0</v>
      </c>
    </row>
    <row r="401" spans="1:7" ht="94.5" outlineLevel="2" x14ac:dyDescent="0.25">
      <c r="A401" s="63" t="s">
        <v>897</v>
      </c>
      <c r="B401" s="9" t="s">
        <v>56</v>
      </c>
      <c r="C401" s="9" t="s">
        <v>760</v>
      </c>
      <c r="D401" s="9"/>
      <c r="E401" s="10">
        <f>+E402</f>
        <v>75</v>
      </c>
      <c r="F401" s="10">
        <f t="shared" ref="F401:G401" si="115">+F402</f>
        <v>0</v>
      </c>
      <c r="G401" s="10">
        <f t="shared" si="115"/>
        <v>0</v>
      </c>
    </row>
    <row r="402" spans="1:7" ht="31.5" outlineLevel="2" x14ac:dyDescent="0.25">
      <c r="A402" s="43" t="s">
        <v>76</v>
      </c>
      <c r="B402" s="9" t="s">
        <v>56</v>
      </c>
      <c r="C402" s="9" t="s">
        <v>760</v>
      </c>
      <c r="D402" s="9" t="s">
        <v>39</v>
      </c>
      <c r="E402" s="10">
        <f>107.9-32.9</f>
        <v>75</v>
      </c>
      <c r="F402" s="10">
        <v>0</v>
      </c>
      <c r="G402" s="10">
        <v>0</v>
      </c>
    </row>
    <row r="403" spans="1:7" ht="78.75" outlineLevel="2" x14ac:dyDescent="0.25">
      <c r="A403" s="63" t="s">
        <v>758</v>
      </c>
      <c r="B403" s="9" t="s">
        <v>56</v>
      </c>
      <c r="C403" s="9" t="s">
        <v>761</v>
      </c>
      <c r="D403" s="9"/>
      <c r="E403" s="10">
        <f>+E404</f>
        <v>11.6</v>
      </c>
      <c r="F403" s="10">
        <f t="shared" ref="F403:G403" si="116">+F404</f>
        <v>0</v>
      </c>
      <c r="G403" s="10">
        <f t="shared" si="116"/>
        <v>0</v>
      </c>
    </row>
    <row r="404" spans="1:7" ht="31.5" outlineLevel="2" x14ac:dyDescent="0.25">
      <c r="A404" s="43" t="s">
        <v>76</v>
      </c>
      <c r="B404" s="9" t="s">
        <v>56</v>
      </c>
      <c r="C404" s="9" t="s">
        <v>761</v>
      </c>
      <c r="D404" s="9" t="s">
        <v>39</v>
      </c>
      <c r="E404" s="10">
        <v>11.6</v>
      </c>
      <c r="F404" s="10">
        <v>0</v>
      </c>
      <c r="G404" s="10">
        <v>0</v>
      </c>
    </row>
    <row r="405" spans="1:7" ht="78.75" outlineLevel="2" x14ac:dyDescent="0.25">
      <c r="A405" s="63" t="s">
        <v>759</v>
      </c>
      <c r="B405" s="9" t="s">
        <v>56</v>
      </c>
      <c r="C405" s="9" t="s">
        <v>762</v>
      </c>
      <c r="D405" s="9"/>
      <c r="E405" s="10">
        <f>+E406</f>
        <v>1188.6999999999998</v>
      </c>
      <c r="F405" s="10">
        <f t="shared" ref="F405:G405" si="117">+F406</f>
        <v>0</v>
      </c>
      <c r="G405" s="10">
        <f t="shared" si="117"/>
        <v>0</v>
      </c>
    </row>
    <row r="406" spans="1:7" ht="31.5" outlineLevel="2" x14ac:dyDescent="0.25">
      <c r="A406" s="43" t="s">
        <v>76</v>
      </c>
      <c r="B406" s="9" t="s">
        <v>56</v>
      </c>
      <c r="C406" s="9" t="s">
        <v>762</v>
      </c>
      <c r="D406" s="9" t="s">
        <v>39</v>
      </c>
      <c r="E406" s="10">
        <f>1114.1+74.6</f>
        <v>1188.6999999999998</v>
      </c>
      <c r="F406" s="10">
        <v>0</v>
      </c>
      <c r="G406" s="10">
        <v>0</v>
      </c>
    </row>
    <row r="407" spans="1:7" ht="141.75" outlineLevel="2" x14ac:dyDescent="0.25">
      <c r="A407" s="64" t="s">
        <v>861</v>
      </c>
      <c r="B407" s="33" t="s">
        <v>56</v>
      </c>
      <c r="C407" s="9" t="s">
        <v>862</v>
      </c>
      <c r="D407" s="33"/>
      <c r="E407" s="10">
        <v>0</v>
      </c>
      <c r="F407" s="10">
        <f>+F408</f>
        <v>10775.8</v>
      </c>
      <c r="G407" s="10">
        <v>0</v>
      </c>
    </row>
    <row r="408" spans="1:7" ht="47.25" outlineLevel="2" x14ac:dyDescent="0.25">
      <c r="A408" s="62" t="s">
        <v>308</v>
      </c>
      <c r="B408" s="33" t="s">
        <v>56</v>
      </c>
      <c r="C408" s="9" t="s">
        <v>862</v>
      </c>
      <c r="D408" s="33" t="s">
        <v>461</v>
      </c>
      <c r="E408" s="10">
        <v>0</v>
      </c>
      <c r="F408" s="10">
        <v>10775.8</v>
      </c>
      <c r="G408" s="10">
        <v>0</v>
      </c>
    </row>
    <row r="409" spans="1:7" ht="78.75" outlineLevel="2" x14ac:dyDescent="0.25">
      <c r="A409" s="40" t="s">
        <v>819</v>
      </c>
      <c r="B409" s="9" t="s">
        <v>56</v>
      </c>
      <c r="C409" s="9" t="s">
        <v>820</v>
      </c>
      <c r="D409" s="9"/>
      <c r="E409" s="10">
        <f>+E410+E411</f>
        <v>15856.7</v>
      </c>
      <c r="F409" s="10">
        <f t="shared" ref="F409:G409" si="118">+F410+F411</f>
        <v>0</v>
      </c>
      <c r="G409" s="10">
        <f t="shared" si="118"/>
        <v>0</v>
      </c>
    </row>
    <row r="410" spans="1:7" ht="47.25" outlineLevel="2" x14ac:dyDescent="0.25">
      <c r="A410" s="40" t="s">
        <v>308</v>
      </c>
      <c r="B410" s="9" t="s">
        <v>56</v>
      </c>
      <c r="C410" s="9" t="s">
        <v>820</v>
      </c>
      <c r="D410" s="9" t="s">
        <v>461</v>
      </c>
      <c r="E410" s="10">
        <v>13860.7</v>
      </c>
      <c r="F410" s="10">
        <v>0</v>
      </c>
      <c r="G410" s="10">
        <v>0</v>
      </c>
    </row>
    <row r="411" spans="1:7" outlineLevel="2" x14ac:dyDescent="0.25">
      <c r="A411" s="11" t="s">
        <v>33</v>
      </c>
      <c r="B411" s="9" t="s">
        <v>56</v>
      </c>
      <c r="C411" s="9" t="s">
        <v>820</v>
      </c>
      <c r="D411" s="9" t="s">
        <v>522</v>
      </c>
      <c r="E411" s="10">
        <v>1996</v>
      </c>
      <c r="F411" s="10">
        <v>0</v>
      </c>
      <c r="G411" s="10">
        <v>0</v>
      </c>
    </row>
    <row r="412" spans="1:7" ht="63" outlineLevel="2" x14ac:dyDescent="0.25">
      <c r="A412" s="62" t="s">
        <v>849</v>
      </c>
      <c r="B412" s="33" t="s">
        <v>56</v>
      </c>
      <c r="C412" s="9" t="s">
        <v>850</v>
      </c>
      <c r="D412" s="33"/>
      <c r="E412" s="10">
        <f>+E413</f>
        <v>1145.7</v>
      </c>
      <c r="F412" s="10">
        <f t="shared" ref="F412:G412" si="119">+F413</f>
        <v>0</v>
      </c>
      <c r="G412" s="10">
        <f t="shared" si="119"/>
        <v>0</v>
      </c>
    </row>
    <row r="413" spans="1:7" ht="31.5" outlineLevel="2" x14ac:dyDescent="0.25">
      <c r="A413" s="62" t="s">
        <v>76</v>
      </c>
      <c r="B413" s="33" t="s">
        <v>56</v>
      </c>
      <c r="C413" s="9" t="s">
        <v>850</v>
      </c>
      <c r="D413" s="33" t="s">
        <v>39</v>
      </c>
      <c r="E413" s="10">
        <v>1145.7</v>
      </c>
      <c r="F413" s="10">
        <v>0</v>
      </c>
      <c r="G413" s="10">
        <v>0</v>
      </c>
    </row>
    <row r="414" spans="1:7" ht="63" outlineLevel="2" x14ac:dyDescent="0.25">
      <c r="A414" s="11" t="s">
        <v>385</v>
      </c>
      <c r="B414" s="12" t="s">
        <v>56</v>
      </c>
      <c r="C414" s="12" t="s">
        <v>386</v>
      </c>
      <c r="D414" s="13"/>
      <c r="E414" s="10">
        <f>E415</f>
        <v>4585.1000000000004</v>
      </c>
      <c r="F414" s="10">
        <f>F415</f>
        <v>0</v>
      </c>
      <c r="G414" s="10">
        <f>G415</f>
        <v>0</v>
      </c>
    </row>
    <row r="415" spans="1:7" ht="31.5" outlineLevel="2" x14ac:dyDescent="0.25">
      <c r="A415" s="11" t="s">
        <v>76</v>
      </c>
      <c r="B415" s="12" t="s">
        <v>56</v>
      </c>
      <c r="C415" s="12" t="s">
        <v>386</v>
      </c>
      <c r="D415" s="13">
        <v>200</v>
      </c>
      <c r="E415" s="10">
        <f>4285.5+299.6</f>
        <v>4585.1000000000004</v>
      </c>
      <c r="F415" s="10">
        <v>0</v>
      </c>
      <c r="G415" s="10">
        <v>0</v>
      </c>
    </row>
    <row r="416" spans="1:7" ht="78.75" outlineLevel="2" x14ac:dyDescent="0.25">
      <c r="A416" s="63" t="s">
        <v>775</v>
      </c>
      <c r="B416" s="9" t="s">
        <v>56</v>
      </c>
      <c r="C416" s="9" t="s">
        <v>777</v>
      </c>
      <c r="D416" s="9"/>
      <c r="E416" s="10">
        <f>+E417</f>
        <v>232700</v>
      </c>
      <c r="F416" s="10">
        <f t="shared" ref="F416:G416" si="120">+F417</f>
        <v>571400</v>
      </c>
      <c r="G416" s="10">
        <f t="shared" si="120"/>
        <v>0</v>
      </c>
    </row>
    <row r="417" spans="1:7" ht="47.25" outlineLevel="2" x14ac:dyDescent="0.25">
      <c r="A417" s="43" t="s">
        <v>308</v>
      </c>
      <c r="B417" s="9" t="s">
        <v>56</v>
      </c>
      <c r="C417" s="9" t="s">
        <v>777</v>
      </c>
      <c r="D417" s="9" t="s">
        <v>461</v>
      </c>
      <c r="E417" s="10">
        <v>232700</v>
      </c>
      <c r="F417" s="10">
        <v>571400</v>
      </c>
      <c r="G417" s="10">
        <v>0</v>
      </c>
    </row>
    <row r="418" spans="1:7" ht="94.5" outlineLevel="2" x14ac:dyDescent="0.25">
      <c r="A418" s="63" t="s">
        <v>831</v>
      </c>
      <c r="B418" s="9" t="s">
        <v>56</v>
      </c>
      <c r="C418" s="9" t="s">
        <v>832</v>
      </c>
      <c r="D418" s="9"/>
      <c r="E418" s="10">
        <f>+E419</f>
        <v>0</v>
      </c>
      <c r="F418" s="10">
        <f>+F419</f>
        <v>230000</v>
      </c>
      <c r="G418" s="10">
        <f>+G419</f>
        <v>700200</v>
      </c>
    </row>
    <row r="419" spans="1:7" outlineLevel="2" x14ac:dyDescent="0.25">
      <c r="A419" s="50" t="s">
        <v>33</v>
      </c>
      <c r="B419" s="9" t="s">
        <v>56</v>
      </c>
      <c r="C419" s="9" t="s">
        <v>832</v>
      </c>
      <c r="D419" s="9" t="s">
        <v>522</v>
      </c>
      <c r="E419" s="10">
        <v>0</v>
      </c>
      <c r="F419" s="10">
        <v>230000</v>
      </c>
      <c r="G419" s="10">
        <v>700200</v>
      </c>
    </row>
    <row r="420" spans="1:7" ht="94.5" outlineLevel="2" x14ac:dyDescent="0.25">
      <c r="A420" s="63" t="s">
        <v>904</v>
      </c>
      <c r="B420" s="9" t="s">
        <v>56</v>
      </c>
      <c r="C420" s="9" t="s">
        <v>833</v>
      </c>
      <c r="D420" s="9"/>
      <c r="E420" s="10">
        <f>+E421</f>
        <v>0</v>
      </c>
      <c r="F420" s="10">
        <f>+F421</f>
        <v>234450</v>
      </c>
      <c r="G420" s="10">
        <f>+G421</f>
        <v>588600</v>
      </c>
    </row>
    <row r="421" spans="1:7" outlineLevel="2" x14ac:dyDescent="0.25">
      <c r="A421" s="50" t="s">
        <v>33</v>
      </c>
      <c r="B421" s="9" t="s">
        <v>56</v>
      </c>
      <c r="C421" s="9" t="s">
        <v>833</v>
      </c>
      <c r="D421" s="9" t="s">
        <v>522</v>
      </c>
      <c r="E421" s="10">
        <v>0</v>
      </c>
      <c r="F421" s="10">
        <v>234450</v>
      </c>
      <c r="G421" s="10">
        <v>588600</v>
      </c>
    </row>
    <row r="422" spans="1:7" ht="110.25" outlineLevel="2" x14ac:dyDescent="0.25">
      <c r="A422" s="65" t="s">
        <v>776</v>
      </c>
      <c r="B422" s="9" t="s">
        <v>56</v>
      </c>
      <c r="C422" s="9" t="s">
        <v>778</v>
      </c>
      <c r="D422" s="9"/>
      <c r="E422" s="10">
        <f>+E423</f>
        <v>1600000</v>
      </c>
      <c r="F422" s="10">
        <f t="shared" ref="F422:G422" si="121">+F423</f>
        <v>0</v>
      </c>
      <c r="G422" s="10">
        <f t="shared" si="121"/>
        <v>0</v>
      </c>
    </row>
    <row r="423" spans="1:7" outlineLevel="2" x14ac:dyDescent="0.25">
      <c r="A423" s="43" t="s">
        <v>33</v>
      </c>
      <c r="B423" s="9" t="s">
        <v>56</v>
      </c>
      <c r="C423" s="9" t="s">
        <v>778</v>
      </c>
      <c r="D423" s="9" t="s">
        <v>522</v>
      </c>
      <c r="E423" s="10">
        <v>1600000</v>
      </c>
      <c r="F423" s="10">
        <v>0</v>
      </c>
      <c r="G423" s="10">
        <v>0</v>
      </c>
    </row>
    <row r="424" spans="1:7" ht="94.5" outlineLevel="2" x14ac:dyDescent="0.25">
      <c r="A424" s="63" t="s">
        <v>834</v>
      </c>
      <c r="B424" s="9" t="s">
        <v>56</v>
      </c>
      <c r="C424" s="9" t="s">
        <v>835</v>
      </c>
      <c r="D424" s="9"/>
      <c r="E424" s="10">
        <f>+E425</f>
        <v>0</v>
      </c>
      <c r="F424" s="10">
        <f>+F425</f>
        <v>234450</v>
      </c>
      <c r="G424" s="10">
        <f>+G425</f>
        <v>588600</v>
      </c>
    </row>
    <row r="425" spans="1:7" outlineLevel="2" x14ac:dyDescent="0.25">
      <c r="A425" s="50" t="s">
        <v>33</v>
      </c>
      <c r="B425" s="9" t="s">
        <v>56</v>
      </c>
      <c r="C425" s="9" t="s">
        <v>835</v>
      </c>
      <c r="D425" s="9" t="s">
        <v>522</v>
      </c>
      <c r="E425" s="10">
        <v>0</v>
      </c>
      <c r="F425" s="10">
        <v>234450</v>
      </c>
      <c r="G425" s="10">
        <v>588600</v>
      </c>
    </row>
    <row r="426" spans="1:7" ht="94.5" outlineLevel="2" x14ac:dyDescent="0.25">
      <c r="A426" s="43" t="s">
        <v>689</v>
      </c>
      <c r="B426" s="9" t="s">
        <v>56</v>
      </c>
      <c r="C426" s="9" t="s">
        <v>690</v>
      </c>
      <c r="D426" s="9"/>
      <c r="E426" s="10">
        <f>E427</f>
        <v>10000</v>
      </c>
      <c r="F426" s="10">
        <f t="shared" ref="F426:G426" si="122">F427</f>
        <v>0</v>
      </c>
      <c r="G426" s="10">
        <f t="shared" si="122"/>
        <v>0</v>
      </c>
    </row>
    <row r="427" spans="1:7" ht="47.25" outlineLevel="2" x14ac:dyDescent="0.25">
      <c r="A427" s="43" t="s">
        <v>308</v>
      </c>
      <c r="B427" s="9" t="s">
        <v>56</v>
      </c>
      <c r="C427" s="9" t="s">
        <v>690</v>
      </c>
      <c r="D427" s="9" t="s">
        <v>461</v>
      </c>
      <c r="E427" s="10">
        <f>11781.3-8.4-1772.9</f>
        <v>10000</v>
      </c>
      <c r="F427" s="10">
        <v>0</v>
      </c>
      <c r="G427" s="10">
        <v>0</v>
      </c>
    </row>
    <row r="428" spans="1:7" ht="94.5" outlineLevel="2" x14ac:dyDescent="0.25">
      <c r="A428" s="62" t="s">
        <v>851</v>
      </c>
      <c r="B428" s="33" t="s">
        <v>56</v>
      </c>
      <c r="C428" s="9" t="s">
        <v>852</v>
      </c>
      <c r="D428" s="33"/>
      <c r="E428" s="10">
        <f>+E429</f>
        <v>151400</v>
      </c>
      <c r="F428" s="10">
        <f t="shared" ref="F428:G428" si="123">+F429</f>
        <v>847982.6</v>
      </c>
      <c r="G428" s="10">
        <f t="shared" si="123"/>
        <v>571565.1</v>
      </c>
    </row>
    <row r="429" spans="1:7" ht="47.25" outlineLevel="2" x14ac:dyDescent="0.25">
      <c r="A429" s="62" t="s">
        <v>308</v>
      </c>
      <c r="B429" s="33" t="s">
        <v>56</v>
      </c>
      <c r="C429" s="9" t="s">
        <v>852</v>
      </c>
      <c r="D429" s="33" t="s">
        <v>461</v>
      </c>
      <c r="E429" s="10">
        <v>151400</v>
      </c>
      <c r="F429" s="10">
        <v>847982.6</v>
      </c>
      <c r="G429" s="10">
        <v>571565.1</v>
      </c>
    </row>
    <row r="430" spans="1:7" ht="94.5" outlineLevel="2" x14ac:dyDescent="0.25">
      <c r="A430" s="43" t="s">
        <v>898</v>
      </c>
      <c r="B430" s="9" t="s">
        <v>56</v>
      </c>
      <c r="C430" s="9" t="s">
        <v>512</v>
      </c>
      <c r="D430" s="9"/>
      <c r="E430" s="10">
        <f>E431</f>
        <v>16250</v>
      </c>
      <c r="F430" s="10">
        <f t="shared" ref="F430:G430" si="124">F431</f>
        <v>0</v>
      </c>
      <c r="G430" s="10">
        <f t="shared" si="124"/>
        <v>0</v>
      </c>
    </row>
    <row r="431" spans="1:7" ht="31.5" outlineLevel="2" x14ac:dyDescent="0.25">
      <c r="A431" s="43" t="s">
        <v>76</v>
      </c>
      <c r="B431" s="9" t="s">
        <v>56</v>
      </c>
      <c r="C431" s="9" t="s">
        <v>512</v>
      </c>
      <c r="D431" s="9" t="s">
        <v>39</v>
      </c>
      <c r="E431" s="10">
        <f>16313.5-63.5</f>
        <v>16250</v>
      </c>
      <c r="F431" s="10">
        <v>0</v>
      </c>
      <c r="G431" s="10">
        <v>0</v>
      </c>
    </row>
    <row r="432" spans="1:7" ht="94.5" outlineLevel="2" x14ac:dyDescent="0.25">
      <c r="A432" s="52" t="s">
        <v>359</v>
      </c>
      <c r="B432" s="12" t="s">
        <v>56</v>
      </c>
      <c r="C432" s="1" t="s">
        <v>360</v>
      </c>
      <c r="D432" s="1"/>
      <c r="E432" s="10">
        <f>E433</f>
        <v>0</v>
      </c>
      <c r="F432" s="10">
        <f t="shared" ref="F432:G432" si="125">F433</f>
        <v>1682487.8</v>
      </c>
      <c r="G432" s="10">
        <f t="shared" si="125"/>
        <v>795142.9</v>
      </c>
    </row>
    <row r="433" spans="1:7" ht="47.25" outlineLevel="2" x14ac:dyDescent="0.25">
      <c r="A433" s="52" t="s">
        <v>308</v>
      </c>
      <c r="B433" s="12" t="s">
        <v>56</v>
      </c>
      <c r="C433" s="1" t="s">
        <v>360</v>
      </c>
      <c r="D433" s="13">
        <v>400</v>
      </c>
      <c r="E433" s="10">
        <v>0</v>
      </c>
      <c r="F433" s="10">
        <f>1698024.7-15536.9</f>
        <v>1682487.8</v>
      </c>
      <c r="G433" s="10">
        <v>795142.9</v>
      </c>
    </row>
    <row r="434" spans="1:7" ht="94.5" outlineLevel="2" x14ac:dyDescent="0.25">
      <c r="A434" s="63" t="s">
        <v>779</v>
      </c>
      <c r="B434" s="9" t="s">
        <v>56</v>
      </c>
      <c r="C434" s="9" t="s">
        <v>782</v>
      </c>
      <c r="D434" s="9"/>
      <c r="E434" s="10">
        <f>+E435</f>
        <v>26853.000000000004</v>
      </c>
      <c r="F434" s="10">
        <f t="shared" ref="F434:G434" si="126">+F435</f>
        <v>61696.999999999993</v>
      </c>
      <c r="G434" s="10">
        <f t="shared" si="126"/>
        <v>0</v>
      </c>
    </row>
    <row r="435" spans="1:7" ht="47.25" outlineLevel="2" x14ac:dyDescent="0.25">
      <c r="A435" s="43" t="s">
        <v>308</v>
      </c>
      <c r="B435" s="9" t="s">
        <v>56</v>
      </c>
      <c r="C435" s="9" t="s">
        <v>782</v>
      </c>
      <c r="D435" s="9" t="s">
        <v>461</v>
      </c>
      <c r="E435" s="10">
        <f>26556.7+404.4-108.1</f>
        <v>26853.000000000004</v>
      </c>
      <c r="F435" s="10">
        <f>61965.6-92.3-176.3</f>
        <v>61696.999999999993</v>
      </c>
      <c r="G435" s="10">
        <v>0</v>
      </c>
    </row>
    <row r="436" spans="1:7" ht="94.5" outlineLevel="2" x14ac:dyDescent="0.25">
      <c r="A436" s="63" t="s">
        <v>780</v>
      </c>
      <c r="B436" s="9" t="s">
        <v>56</v>
      </c>
      <c r="C436" s="9" t="s">
        <v>783</v>
      </c>
      <c r="D436" s="9"/>
      <c r="E436" s="10">
        <f>+E437</f>
        <v>17100</v>
      </c>
      <c r="F436" s="10">
        <f t="shared" ref="F436:G436" si="127">+F437</f>
        <v>39900</v>
      </c>
      <c r="G436" s="10">
        <f t="shared" si="127"/>
        <v>0</v>
      </c>
    </row>
    <row r="437" spans="1:7" ht="47.25" outlineLevel="2" x14ac:dyDescent="0.25">
      <c r="A437" s="43" t="s">
        <v>308</v>
      </c>
      <c r="B437" s="9" t="s">
        <v>56</v>
      </c>
      <c r="C437" s="9" t="s">
        <v>783</v>
      </c>
      <c r="D437" s="9" t="s">
        <v>461</v>
      </c>
      <c r="E437" s="10">
        <f>22541-333.2-5107.8</f>
        <v>17100</v>
      </c>
      <c r="F437" s="10">
        <f>52595.6-826.4-11869.2</f>
        <v>39900</v>
      </c>
      <c r="G437" s="10">
        <v>0</v>
      </c>
    </row>
    <row r="438" spans="1:7" ht="94.5" outlineLevel="2" x14ac:dyDescent="0.25">
      <c r="A438" s="63" t="s">
        <v>781</v>
      </c>
      <c r="B438" s="9" t="s">
        <v>56</v>
      </c>
      <c r="C438" s="9" t="s">
        <v>784</v>
      </c>
      <c r="D438" s="9"/>
      <c r="E438" s="10">
        <f>+E439</f>
        <v>22050</v>
      </c>
      <c r="F438" s="10">
        <f t="shared" ref="F438:G438" si="128">+F439</f>
        <v>51449.9</v>
      </c>
      <c r="G438" s="10">
        <f t="shared" si="128"/>
        <v>0</v>
      </c>
    </row>
    <row r="439" spans="1:7" ht="47.25" outlineLevel="2" x14ac:dyDescent="0.25">
      <c r="A439" s="43" t="s">
        <v>308</v>
      </c>
      <c r="B439" s="9" t="s">
        <v>56</v>
      </c>
      <c r="C439" s="9" t="s">
        <v>784</v>
      </c>
      <c r="D439" s="9" t="s">
        <v>461</v>
      </c>
      <c r="E439" s="10">
        <f>26479.8-271.2-4158.6</f>
        <v>22050</v>
      </c>
      <c r="F439" s="10">
        <f>61786.2-696.2-9640.1</f>
        <v>51449.9</v>
      </c>
      <c r="G439" s="10">
        <v>0</v>
      </c>
    </row>
    <row r="440" spans="1:7" ht="31.5" outlineLevel="2" x14ac:dyDescent="0.25">
      <c r="A440" s="62" t="s">
        <v>853</v>
      </c>
      <c r="B440" s="33" t="s">
        <v>56</v>
      </c>
      <c r="C440" s="9" t="s">
        <v>854</v>
      </c>
      <c r="D440" s="33"/>
      <c r="E440" s="10">
        <f>+E441</f>
        <v>103.6</v>
      </c>
      <c r="F440" s="10">
        <f t="shared" ref="F440:G440" si="129">+F441</f>
        <v>0</v>
      </c>
      <c r="G440" s="10">
        <f t="shared" si="129"/>
        <v>0</v>
      </c>
    </row>
    <row r="441" spans="1:7" ht="31.5" outlineLevel="2" x14ac:dyDescent="0.25">
      <c r="A441" s="62" t="s">
        <v>76</v>
      </c>
      <c r="B441" s="33" t="s">
        <v>56</v>
      </c>
      <c r="C441" s="9" t="s">
        <v>854</v>
      </c>
      <c r="D441" s="33">
        <v>200</v>
      </c>
      <c r="E441" s="10">
        <v>103.6</v>
      </c>
      <c r="F441" s="10">
        <v>0</v>
      </c>
      <c r="G441" s="10">
        <v>0</v>
      </c>
    </row>
    <row r="442" spans="1:7" ht="31.5" outlineLevel="2" x14ac:dyDescent="0.25">
      <c r="A442" s="66" t="s">
        <v>361</v>
      </c>
      <c r="B442" s="12" t="s">
        <v>56</v>
      </c>
      <c r="C442" s="1" t="s">
        <v>362</v>
      </c>
      <c r="D442" s="1"/>
      <c r="E442" s="10">
        <f>E443</f>
        <v>16975.800000000003</v>
      </c>
      <c r="F442" s="10">
        <f t="shared" ref="F442:G442" si="130">F443</f>
        <v>131169.5</v>
      </c>
      <c r="G442" s="10">
        <f t="shared" si="130"/>
        <v>356890.30000000005</v>
      </c>
    </row>
    <row r="443" spans="1:7" ht="31.5" outlineLevel="2" x14ac:dyDescent="0.25">
      <c r="A443" s="47" t="s">
        <v>76</v>
      </c>
      <c r="B443" s="12" t="s">
        <v>56</v>
      </c>
      <c r="C443" s="1" t="s">
        <v>362</v>
      </c>
      <c r="D443" s="1">
        <v>200</v>
      </c>
      <c r="E443" s="10">
        <f>9580.1-402.3+7798</f>
        <v>16975.800000000003</v>
      </c>
      <c r="F443" s="10">
        <v>131169.5</v>
      </c>
      <c r="G443" s="10">
        <v>356890.30000000005</v>
      </c>
    </row>
    <row r="444" spans="1:7" ht="126" outlineLevel="2" x14ac:dyDescent="0.25">
      <c r="A444" s="66" t="s">
        <v>479</v>
      </c>
      <c r="B444" s="12" t="s">
        <v>56</v>
      </c>
      <c r="C444" s="1" t="s">
        <v>363</v>
      </c>
      <c r="D444" s="1"/>
      <c r="E444" s="10">
        <f>E445</f>
        <v>54870.7</v>
      </c>
      <c r="F444" s="10">
        <f t="shared" ref="F444:G444" si="131">F445</f>
        <v>0</v>
      </c>
      <c r="G444" s="10">
        <f t="shared" si="131"/>
        <v>0</v>
      </c>
    </row>
    <row r="445" spans="1:7" ht="47.25" outlineLevel="2" x14ac:dyDescent="0.25">
      <c r="A445" s="52" t="s">
        <v>308</v>
      </c>
      <c r="B445" s="12" t="s">
        <v>56</v>
      </c>
      <c r="C445" s="1" t="s">
        <v>363</v>
      </c>
      <c r="D445" s="1">
        <v>400</v>
      </c>
      <c r="E445" s="10">
        <f>53901.7+969.1-0.1</f>
        <v>54870.7</v>
      </c>
      <c r="F445" s="10">
        <v>0</v>
      </c>
      <c r="G445" s="10">
        <v>0</v>
      </c>
    </row>
    <row r="446" spans="1:7" ht="63" outlineLevel="2" x14ac:dyDescent="0.25">
      <c r="A446" s="66" t="s">
        <v>364</v>
      </c>
      <c r="B446" s="12" t="s">
        <v>56</v>
      </c>
      <c r="C446" s="1" t="s">
        <v>365</v>
      </c>
      <c r="D446" s="1"/>
      <c r="E446" s="10">
        <f>E447</f>
        <v>19706.5</v>
      </c>
      <c r="F446" s="10">
        <f t="shared" ref="F446:G446" si="132">F447</f>
        <v>0</v>
      </c>
      <c r="G446" s="10">
        <f t="shared" si="132"/>
        <v>0</v>
      </c>
    </row>
    <row r="447" spans="1:7" ht="31.5" outlineLevel="2" x14ac:dyDescent="0.25">
      <c r="A447" s="47" t="s">
        <v>76</v>
      </c>
      <c r="B447" s="12" t="s">
        <v>56</v>
      </c>
      <c r="C447" s="1" t="s">
        <v>365</v>
      </c>
      <c r="D447" s="1">
        <v>200</v>
      </c>
      <c r="E447" s="10">
        <f>18250+87.4+1369.1</f>
        <v>19706.5</v>
      </c>
      <c r="F447" s="10">
        <v>0</v>
      </c>
      <c r="G447" s="10">
        <v>0</v>
      </c>
    </row>
    <row r="448" spans="1:7" ht="63" outlineLevel="2" x14ac:dyDescent="0.25">
      <c r="A448" s="66" t="s">
        <v>366</v>
      </c>
      <c r="B448" s="12" t="s">
        <v>56</v>
      </c>
      <c r="C448" s="1" t="s">
        <v>367</v>
      </c>
      <c r="D448" s="1"/>
      <c r="E448" s="10">
        <f>E449</f>
        <v>48369.9</v>
      </c>
      <c r="F448" s="10">
        <f t="shared" ref="F448:G448" si="133">F449</f>
        <v>0</v>
      </c>
      <c r="G448" s="10">
        <f t="shared" si="133"/>
        <v>0</v>
      </c>
    </row>
    <row r="449" spans="1:7" ht="31.5" outlineLevel="2" x14ac:dyDescent="0.25">
      <c r="A449" s="47" t="s">
        <v>76</v>
      </c>
      <c r="B449" s="12" t="s">
        <v>56</v>
      </c>
      <c r="C449" s="1" t="s">
        <v>367</v>
      </c>
      <c r="D449" s="1">
        <v>200</v>
      </c>
      <c r="E449" s="10">
        <f>46214.2+129.3+2026.4</f>
        <v>48369.9</v>
      </c>
      <c r="F449" s="10">
        <v>0</v>
      </c>
      <c r="G449" s="10">
        <v>0</v>
      </c>
    </row>
    <row r="450" spans="1:7" ht="94.5" outlineLevel="2" x14ac:dyDescent="0.25">
      <c r="A450" s="43" t="s">
        <v>565</v>
      </c>
      <c r="B450" s="9" t="s">
        <v>56</v>
      </c>
      <c r="C450" s="9" t="s">
        <v>567</v>
      </c>
      <c r="D450" s="9"/>
      <c r="E450" s="10">
        <f>E451</f>
        <v>15497.500000000002</v>
      </c>
      <c r="F450" s="10">
        <f t="shared" ref="F450:G450" si="134">F451</f>
        <v>0</v>
      </c>
      <c r="G450" s="10">
        <f t="shared" si="134"/>
        <v>0</v>
      </c>
    </row>
    <row r="451" spans="1:7" ht="47.25" outlineLevel="2" x14ac:dyDescent="0.25">
      <c r="A451" s="43" t="s">
        <v>308</v>
      </c>
      <c r="B451" s="9" t="s">
        <v>56</v>
      </c>
      <c r="C451" s="9" t="s">
        <v>567</v>
      </c>
      <c r="D451" s="9" t="s">
        <v>461</v>
      </c>
      <c r="E451" s="10">
        <f>15874.6+159.7+0.1-536.9</f>
        <v>15497.500000000002</v>
      </c>
      <c r="F451" s="10">
        <v>0</v>
      </c>
      <c r="G451" s="10">
        <v>0</v>
      </c>
    </row>
    <row r="452" spans="1:7" ht="63" outlineLevel="2" x14ac:dyDescent="0.25">
      <c r="A452" s="43" t="s">
        <v>566</v>
      </c>
      <c r="B452" s="9" t="s">
        <v>56</v>
      </c>
      <c r="C452" s="9" t="s">
        <v>568</v>
      </c>
      <c r="D452" s="9"/>
      <c r="E452" s="10">
        <f>E453</f>
        <v>12218.8</v>
      </c>
      <c r="F452" s="10">
        <f t="shared" ref="F452:G452" si="135">F453</f>
        <v>0</v>
      </c>
      <c r="G452" s="10">
        <f t="shared" si="135"/>
        <v>0</v>
      </c>
    </row>
    <row r="453" spans="1:7" ht="31.5" outlineLevel="2" x14ac:dyDescent="0.25">
      <c r="A453" s="43" t="s">
        <v>76</v>
      </c>
      <c r="B453" s="9" t="s">
        <v>56</v>
      </c>
      <c r="C453" s="9" t="s">
        <v>568</v>
      </c>
      <c r="D453" s="9" t="s">
        <v>39</v>
      </c>
      <c r="E453" s="10">
        <f>7339+292.8+4587</f>
        <v>12218.8</v>
      </c>
      <c r="F453" s="10">
        <v>0</v>
      </c>
      <c r="G453" s="10">
        <v>0</v>
      </c>
    </row>
    <row r="454" spans="1:7" ht="78.75" outlineLevel="2" x14ac:dyDescent="0.25">
      <c r="A454" s="43" t="s">
        <v>569</v>
      </c>
      <c r="B454" s="9" t="s">
        <v>56</v>
      </c>
      <c r="C454" s="9" t="s">
        <v>571</v>
      </c>
      <c r="D454" s="9"/>
      <c r="E454" s="10">
        <f>E455</f>
        <v>2341.9</v>
      </c>
      <c r="F454" s="10">
        <f t="shared" ref="F454:G454" si="136">F455</f>
        <v>0</v>
      </c>
      <c r="G454" s="10">
        <f t="shared" si="136"/>
        <v>0</v>
      </c>
    </row>
    <row r="455" spans="1:7" ht="31.5" outlineLevel="2" x14ac:dyDescent="0.25">
      <c r="A455" s="43" t="s">
        <v>76</v>
      </c>
      <c r="B455" s="9" t="s">
        <v>56</v>
      </c>
      <c r="C455" s="9" t="s">
        <v>571</v>
      </c>
      <c r="D455" s="9" t="s">
        <v>39</v>
      </c>
      <c r="E455" s="10">
        <f>2845.9-473.8-30.2</f>
        <v>2341.9</v>
      </c>
      <c r="F455" s="10">
        <v>0</v>
      </c>
      <c r="G455" s="10">
        <v>0</v>
      </c>
    </row>
    <row r="456" spans="1:7" ht="78.75" outlineLevel="2" x14ac:dyDescent="0.25">
      <c r="A456" s="43" t="s">
        <v>899</v>
      </c>
      <c r="B456" s="9" t="s">
        <v>56</v>
      </c>
      <c r="C456" s="9" t="s">
        <v>572</v>
      </c>
      <c r="D456" s="9"/>
      <c r="E456" s="10">
        <f>E457</f>
        <v>2315.6</v>
      </c>
      <c r="F456" s="10">
        <f t="shared" ref="F456:G456" si="137">F457</f>
        <v>0</v>
      </c>
      <c r="G456" s="10">
        <f t="shared" si="137"/>
        <v>0</v>
      </c>
    </row>
    <row r="457" spans="1:7" ht="31.5" outlineLevel="2" x14ac:dyDescent="0.25">
      <c r="A457" s="43" t="s">
        <v>76</v>
      </c>
      <c r="B457" s="9" t="s">
        <v>56</v>
      </c>
      <c r="C457" s="9" t="s">
        <v>572</v>
      </c>
      <c r="D457" s="9" t="s">
        <v>39</v>
      </c>
      <c r="E457" s="10">
        <v>2315.6</v>
      </c>
      <c r="F457" s="10">
        <v>0</v>
      </c>
      <c r="G457" s="10">
        <v>0</v>
      </c>
    </row>
    <row r="458" spans="1:7" ht="94.5" outlineLevel="2" x14ac:dyDescent="0.25">
      <c r="A458" s="43" t="s">
        <v>570</v>
      </c>
      <c r="B458" s="9" t="s">
        <v>56</v>
      </c>
      <c r="C458" s="9" t="s">
        <v>573</v>
      </c>
      <c r="D458" s="9"/>
      <c r="E458" s="10">
        <f>E459</f>
        <v>5166.8999999999996</v>
      </c>
      <c r="F458" s="10">
        <f t="shared" ref="F458:G458" si="138">F459</f>
        <v>0</v>
      </c>
      <c r="G458" s="10">
        <f t="shared" si="138"/>
        <v>0</v>
      </c>
    </row>
    <row r="459" spans="1:7" ht="31.5" outlineLevel="2" x14ac:dyDescent="0.25">
      <c r="A459" s="43" t="s">
        <v>76</v>
      </c>
      <c r="B459" s="9" t="s">
        <v>56</v>
      </c>
      <c r="C459" s="9" t="s">
        <v>573</v>
      </c>
      <c r="D459" s="9" t="s">
        <v>39</v>
      </c>
      <c r="E459" s="10">
        <v>5166.8999999999996</v>
      </c>
      <c r="F459" s="10">
        <v>0</v>
      </c>
      <c r="G459" s="10">
        <v>0</v>
      </c>
    </row>
    <row r="460" spans="1:7" ht="63" outlineLevel="2" x14ac:dyDescent="0.25">
      <c r="A460" s="43" t="s">
        <v>574</v>
      </c>
      <c r="B460" s="9" t="s">
        <v>56</v>
      </c>
      <c r="C460" s="9" t="s">
        <v>575</v>
      </c>
      <c r="D460" s="9"/>
      <c r="E460" s="10">
        <f>E461</f>
        <v>1821.0000000000002</v>
      </c>
      <c r="F460" s="10">
        <f t="shared" ref="F460:G460" si="139">F461</f>
        <v>0</v>
      </c>
      <c r="G460" s="10">
        <f t="shared" si="139"/>
        <v>0</v>
      </c>
    </row>
    <row r="461" spans="1:7" ht="31.5" outlineLevel="2" x14ac:dyDescent="0.25">
      <c r="A461" s="43" t="s">
        <v>76</v>
      </c>
      <c r="B461" s="9" t="s">
        <v>56</v>
      </c>
      <c r="C461" s="9" t="s">
        <v>575</v>
      </c>
      <c r="D461" s="9" t="s">
        <v>39</v>
      </c>
      <c r="E461" s="10">
        <f>1916.9-5.8-90.1</f>
        <v>1821.0000000000002</v>
      </c>
      <c r="F461" s="10">
        <v>0</v>
      </c>
      <c r="G461" s="10">
        <v>0</v>
      </c>
    </row>
    <row r="462" spans="1:7" ht="78.75" outlineLevel="2" x14ac:dyDescent="0.25">
      <c r="A462" s="43" t="s">
        <v>900</v>
      </c>
      <c r="B462" s="9" t="s">
        <v>56</v>
      </c>
      <c r="C462" s="9" t="s">
        <v>576</v>
      </c>
      <c r="D462" s="9"/>
      <c r="E462" s="10">
        <f>E463</f>
        <v>213.5</v>
      </c>
      <c r="F462" s="10">
        <f t="shared" ref="F462:G462" si="140">F463</f>
        <v>0</v>
      </c>
      <c r="G462" s="10">
        <f t="shared" si="140"/>
        <v>0</v>
      </c>
    </row>
    <row r="463" spans="1:7" ht="31.5" outlineLevel="2" x14ac:dyDescent="0.25">
      <c r="A463" s="43" t="s">
        <v>76</v>
      </c>
      <c r="B463" s="9" t="s">
        <v>56</v>
      </c>
      <c r="C463" s="9" t="s">
        <v>576</v>
      </c>
      <c r="D463" s="9" t="s">
        <v>39</v>
      </c>
      <c r="E463" s="10">
        <f>221.1-0.5-7.1</f>
        <v>213.5</v>
      </c>
      <c r="F463" s="10">
        <v>0</v>
      </c>
      <c r="G463" s="10">
        <v>0</v>
      </c>
    </row>
    <row r="464" spans="1:7" ht="78.75" outlineLevel="2" x14ac:dyDescent="0.25">
      <c r="A464" s="43" t="s">
        <v>577</v>
      </c>
      <c r="B464" s="9" t="s">
        <v>56</v>
      </c>
      <c r="C464" s="9" t="s">
        <v>581</v>
      </c>
      <c r="D464" s="9"/>
      <c r="E464" s="10">
        <f>E465</f>
        <v>19761.8</v>
      </c>
      <c r="F464" s="10">
        <f t="shared" ref="F464:G464" si="141">F465</f>
        <v>0</v>
      </c>
      <c r="G464" s="10">
        <f t="shared" si="141"/>
        <v>0</v>
      </c>
    </row>
    <row r="465" spans="1:7" ht="31.5" outlineLevel="2" x14ac:dyDescent="0.25">
      <c r="A465" s="43" t="s">
        <v>76</v>
      </c>
      <c r="B465" s="9" t="s">
        <v>56</v>
      </c>
      <c r="C465" s="9" t="s">
        <v>581</v>
      </c>
      <c r="D465" s="9" t="s">
        <v>39</v>
      </c>
      <c r="E465" s="10">
        <v>19761.8</v>
      </c>
      <c r="F465" s="10">
        <v>0</v>
      </c>
      <c r="G465" s="10">
        <v>0</v>
      </c>
    </row>
    <row r="466" spans="1:7" ht="63" outlineLevel="2" x14ac:dyDescent="0.25">
      <c r="A466" s="43" t="s">
        <v>578</v>
      </c>
      <c r="B466" s="9" t="s">
        <v>56</v>
      </c>
      <c r="C466" s="9" t="s">
        <v>582</v>
      </c>
      <c r="D466" s="9"/>
      <c r="E466" s="10">
        <f>E467</f>
        <v>40628.300000000003</v>
      </c>
      <c r="F466" s="10">
        <f t="shared" ref="F466:G466" si="142">F467</f>
        <v>0</v>
      </c>
      <c r="G466" s="10">
        <f t="shared" si="142"/>
        <v>0</v>
      </c>
    </row>
    <row r="467" spans="1:7" ht="31.5" outlineLevel="2" x14ac:dyDescent="0.25">
      <c r="A467" s="43" t="s">
        <v>76</v>
      </c>
      <c r="B467" s="9" t="s">
        <v>56</v>
      </c>
      <c r="C467" s="9" t="s">
        <v>582</v>
      </c>
      <c r="D467" s="9" t="s">
        <v>39</v>
      </c>
      <c r="E467" s="10">
        <f>40628.4-0.1</f>
        <v>40628.300000000003</v>
      </c>
      <c r="F467" s="10">
        <v>0</v>
      </c>
      <c r="G467" s="10">
        <v>0</v>
      </c>
    </row>
    <row r="468" spans="1:7" ht="63" outlineLevel="2" x14ac:dyDescent="0.25">
      <c r="A468" s="43" t="s">
        <v>579</v>
      </c>
      <c r="B468" s="9" t="s">
        <v>56</v>
      </c>
      <c r="C468" s="9" t="s">
        <v>583</v>
      </c>
      <c r="D468" s="9"/>
      <c r="E468" s="10">
        <f>E469</f>
        <v>3635.7999999999997</v>
      </c>
      <c r="F468" s="10">
        <f t="shared" ref="F468:G468" si="143">F469</f>
        <v>0</v>
      </c>
      <c r="G468" s="10">
        <f t="shared" si="143"/>
        <v>0</v>
      </c>
    </row>
    <row r="469" spans="1:7" ht="31.5" outlineLevel="2" x14ac:dyDescent="0.25">
      <c r="A469" s="43" t="s">
        <v>76</v>
      </c>
      <c r="B469" s="9" t="s">
        <v>56</v>
      </c>
      <c r="C469" s="9" t="s">
        <v>583</v>
      </c>
      <c r="D469" s="9" t="s">
        <v>39</v>
      </c>
      <c r="E469" s="10">
        <v>3635.7999999999997</v>
      </c>
      <c r="F469" s="10">
        <v>0</v>
      </c>
      <c r="G469" s="10">
        <v>0</v>
      </c>
    </row>
    <row r="470" spans="1:7" ht="63" outlineLevel="2" x14ac:dyDescent="0.25">
      <c r="A470" s="43" t="s">
        <v>580</v>
      </c>
      <c r="B470" s="9" t="s">
        <v>56</v>
      </c>
      <c r="C470" s="9" t="s">
        <v>584</v>
      </c>
      <c r="D470" s="9"/>
      <c r="E470" s="10">
        <f>E471</f>
        <v>6567.1</v>
      </c>
      <c r="F470" s="10">
        <f t="shared" ref="F470:G470" si="144">F471</f>
        <v>0</v>
      </c>
      <c r="G470" s="10">
        <f t="shared" si="144"/>
        <v>0</v>
      </c>
    </row>
    <row r="471" spans="1:7" ht="31.5" outlineLevel="2" x14ac:dyDescent="0.25">
      <c r="A471" s="43" t="s">
        <v>76</v>
      </c>
      <c r="B471" s="9" t="s">
        <v>56</v>
      </c>
      <c r="C471" s="9" t="s">
        <v>584</v>
      </c>
      <c r="D471" s="9" t="s">
        <v>39</v>
      </c>
      <c r="E471" s="10">
        <v>6567.1</v>
      </c>
      <c r="F471" s="10">
        <v>0</v>
      </c>
      <c r="G471" s="10">
        <v>0</v>
      </c>
    </row>
    <row r="472" spans="1:7" ht="110.25" outlineLevel="2" x14ac:dyDescent="0.25">
      <c r="A472" s="67" t="s">
        <v>691</v>
      </c>
      <c r="B472" s="9" t="s">
        <v>56</v>
      </c>
      <c r="C472" s="9" t="s">
        <v>693</v>
      </c>
      <c r="D472" s="9"/>
      <c r="E472" s="10">
        <f t="shared" ref="E472:G472" si="145">E473</f>
        <v>35631.300000000003</v>
      </c>
      <c r="F472" s="10">
        <f t="shared" si="145"/>
        <v>0</v>
      </c>
      <c r="G472" s="10">
        <f t="shared" si="145"/>
        <v>0</v>
      </c>
    </row>
    <row r="473" spans="1:7" ht="47.25" outlineLevel="2" x14ac:dyDescent="0.25">
      <c r="A473" s="43" t="s">
        <v>308</v>
      </c>
      <c r="B473" s="9" t="s">
        <v>56</v>
      </c>
      <c r="C473" s="9" t="s">
        <v>693</v>
      </c>
      <c r="D473" s="9" t="s">
        <v>461</v>
      </c>
      <c r="E473" s="10">
        <f>46117-558.4-9927.3</f>
        <v>35631.300000000003</v>
      </c>
      <c r="F473" s="10">
        <v>0</v>
      </c>
      <c r="G473" s="10">
        <v>0</v>
      </c>
    </row>
    <row r="474" spans="1:7" ht="78.75" outlineLevel="2" x14ac:dyDescent="0.25">
      <c r="A474" s="56" t="s">
        <v>692</v>
      </c>
      <c r="B474" s="9" t="s">
        <v>56</v>
      </c>
      <c r="C474" s="9" t="s">
        <v>694</v>
      </c>
      <c r="D474" s="9"/>
      <c r="E474" s="10">
        <f t="shared" ref="E474:G474" si="146">E475</f>
        <v>46364</v>
      </c>
      <c r="F474" s="10">
        <f t="shared" si="146"/>
        <v>0</v>
      </c>
      <c r="G474" s="10">
        <f t="shared" si="146"/>
        <v>0</v>
      </c>
    </row>
    <row r="475" spans="1:7" ht="47.25" outlineLevel="2" x14ac:dyDescent="0.25">
      <c r="A475" s="43" t="s">
        <v>308</v>
      </c>
      <c r="B475" s="9" t="s">
        <v>56</v>
      </c>
      <c r="C475" s="9" t="s">
        <v>694</v>
      </c>
      <c r="D475" s="9" t="s">
        <v>461</v>
      </c>
      <c r="E475" s="10">
        <f>44934.3+1429.7</f>
        <v>46364</v>
      </c>
      <c r="F475" s="10">
        <v>0</v>
      </c>
      <c r="G475" s="10">
        <v>0</v>
      </c>
    </row>
    <row r="476" spans="1:7" ht="63" outlineLevel="2" x14ac:dyDescent="0.25">
      <c r="A476" s="56" t="s">
        <v>695</v>
      </c>
      <c r="B476" s="9" t="s">
        <v>56</v>
      </c>
      <c r="C476" s="9" t="s">
        <v>699</v>
      </c>
      <c r="D476" s="9"/>
      <c r="E476" s="10">
        <f t="shared" ref="E476:G476" si="147">E477</f>
        <v>9511.9000000000015</v>
      </c>
      <c r="F476" s="10">
        <f t="shared" si="147"/>
        <v>0</v>
      </c>
      <c r="G476" s="10">
        <f t="shared" si="147"/>
        <v>0</v>
      </c>
    </row>
    <row r="477" spans="1:7" ht="47.25" outlineLevel="2" x14ac:dyDescent="0.25">
      <c r="A477" s="43" t="s">
        <v>308</v>
      </c>
      <c r="B477" s="9" t="s">
        <v>56</v>
      </c>
      <c r="C477" s="9" t="s">
        <v>699</v>
      </c>
      <c r="D477" s="9" t="s">
        <v>461</v>
      </c>
      <c r="E477" s="10">
        <v>9511.9000000000015</v>
      </c>
      <c r="F477" s="10">
        <v>0</v>
      </c>
      <c r="G477" s="10">
        <v>0</v>
      </c>
    </row>
    <row r="478" spans="1:7" ht="78.75" outlineLevel="2" x14ac:dyDescent="0.25">
      <c r="A478" s="56" t="s">
        <v>696</v>
      </c>
      <c r="B478" s="9" t="s">
        <v>56</v>
      </c>
      <c r="C478" s="9" t="s">
        <v>700</v>
      </c>
      <c r="D478" s="9"/>
      <c r="E478" s="10">
        <f t="shared" ref="E478:G478" si="148">E479</f>
        <v>0</v>
      </c>
      <c r="F478" s="10">
        <f t="shared" si="148"/>
        <v>17635.599999999999</v>
      </c>
      <c r="G478" s="10">
        <f t="shared" si="148"/>
        <v>0</v>
      </c>
    </row>
    <row r="479" spans="1:7" ht="47.25" outlineLevel="2" x14ac:dyDescent="0.25">
      <c r="A479" s="43" t="s">
        <v>308</v>
      </c>
      <c r="B479" s="9" t="s">
        <v>56</v>
      </c>
      <c r="C479" s="9" t="s">
        <v>700</v>
      </c>
      <c r="D479" s="9" t="s">
        <v>461</v>
      </c>
      <c r="E479" s="10">
        <v>0</v>
      </c>
      <c r="F479" s="10">
        <v>17635.599999999999</v>
      </c>
      <c r="G479" s="10">
        <v>0</v>
      </c>
    </row>
    <row r="480" spans="1:7" ht="78.75" outlineLevel="2" x14ac:dyDescent="0.25">
      <c r="A480" s="56" t="s">
        <v>697</v>
      </c>
      <c r="B480" s="9" t="s">
        <v>56</v>
      </c>
      <c r="C480" s="9" t="s">
        <v>701</v>
      </c>
      <c r="D480" s="9"/>
      <c r="E480" s="10">
        <f t="shared" ref="E480:G480" si="149">E481</f>
        <v>0</v>
      </c>
      <c r="F480" s="10">
        <f t="shared" si="149"/>
        <v>31968.6</v>
      </c>
      <c r="G480" s="10">
        <f t="shared" si="149"/>
        <v>0</v>
      </c>
    </row>
    <row r="481" spans="1:7" ht="47.25" outlineLevel="2" x14ac:dyDescent="0.25">
      <c r="A481" s="43" t="s">
        <v>308</v>
      </c>
      <c r="B481" s="9" t="s">
        <v>56</v>
      </c>
      <c r="C481" s="9" t="s">
        <v>701</v>
      </c>
      <c r="D481" s="9" t="s">
        <v>461</v>
      </c>
      <c r="E481" s="10">
        <v>0</v>
      </c>
      <c r="F481" s="10">
        <f>31968.5+0.1</f>
        <v>31968.6</v>
      </c>
      <c r="G481" s="10">
        <v>0</v>
      </c>
    </row>
    <row r="482" spans="1:7" ht="78.75" outlineLevel="2" x14ac:dyDescent="0.25">
      <c r="A482" s="56" t="s">
        <v>698</v>
      </c>
      <c r="B482" s="9" t="s">
        <v>56</v>
      </c>
      <c r="C482" s="9" t="s">
        <v>702</v>
      </c>
      <c r="D482" s="9"/>
      <c r="E482" s="10">
        <f t="shared" ref="E482:G482" si="150">E483</f>
        <v>40681.5</v>
      </c>
      <c r="F482" s="10">
        <f t="shared" si="150"/>
        <v>0</v>
      </c>
      <c r="G482" s="10">
        <f t="shared" si="150"/>
        <v>0</v>
      </c>
    </row>
    <row r="483" spans="1:7" ht="47.25" outlineLevel="2" x14ac:dyDescent="0.25">
      <c r="A483" s="43" t="s">
        <v>308</v>
      </c>
      <c r="B483" s="9" t="s">
        <v>56</v>
      </c>
      <c r="C483" s="9" t="s">
        <v>702</v>
      </c>
      <c r="D483" s="9" t="s">
        <v>461</v>
      </c>
      <c r="E483" s="10">
        <f>42377.8-101.8-1594.5</f>
        <v>40681.5</v>
      </c>
      <c r="F483" s="10">
        <v>0</v>
      </c>
      <c r="G483" s="10">
        <v>0</v>
      </c>
    </row>
    <row r="484" spans="1:7" ht="94.5" outlineLevel="2" x14ac:dyDescent="0.25">
      <c r="A484" s="52" t="s">
        <v>742</v>
      </c>
      <c r="B484" s="9" t="s">
        <v>56</v>
      </c>
      <c r="C484" s="9" t="s">
        <v>744</v>
      </c>
      <c r="D484" s="9"/>
      <c r="E484" s="10">
        <f>E485</f>
        <v>8224.2000000000007</v>
      </c>
      <c r="F484" s="10">
        <f t="shared" ref="F484:G484" si="151">F485</f>
        <v>0</v>
      </c>
      <c r="G484" s="10">
        <f t="shared" si="151"/>
        <v>0</v>
      </c>
    </row>
    <row r="485" spans="1:7" ht="31.5" outlineLevel="2" x14ac:dyDescent="0.25">
      <c r="A485" s="48" t="s">
        <v>76</v>
      </c>
      <c r="B485" s="9" t="s">
        <v>56</v>
      </c>
      <c r="C485" s="9" t="s">
        <v>744</v>
      </c>
      <c r="D485" s="9" t="s">
        <v>39</v>
      </c>
      <c r="E485" s="10">
        <f>8314.6-5.4-85</f>
        <v>8224.2000000000007</v>
      </c>
      <c r="F485" s="10">
        <v>0</v>
      </c>
      <c r="G485" s="10">
        <v>0</v>
      </c>
    </row>
    <row r="486" spans="1:7" ht="63" outlineLevel="2" x14ac:dyDescent="0.25">
      <c r="A486" s="52" t="s">
        <v>743</v>
      </c>
      <c r="B486" s="9" t="s">
        <v>56</v>
      </c>
      <c r="C486" s="9" t="s">
        <v>745</v>
      </c>
      <c r="D486" s="9"/>
      <c r="E486" s="10">
        <f>E487</f>
        <v>18636.7</v>
      </c>
      <c r="F486" s="10">
        <f t="shared" ref="F486:G486" si="152">F487</f>
        <v>0</v>
      </c>
      <c r="G486" s="10">
        <f t="shared" si="152"/>
        <v>0</v>
      </c>
    </row>
    <row r="487" spans="1:7" ht="31.5" outlineLevel="2" x14ac:dyDescent="0.25">
      <c r="A487" s="48" t="s">
        <v>76</v>
      </c>
      <c r="B487" s="9" t="s">
        <v>56</v>
      </c>
      <c r="C487" s="9" t="s">
        <v>745</v>
      </c>
      <c r="D487" s="9" t="s">
        <v>39</v>
      </c>
      <c r="E487" s="10">
        <v>18636.7</v>
      </c>
      <c r="F487" s="10">
        <v>0</v>
      </c>
      <c r="G487" s="10">
        <v>0</v>
      </c>
    </row>
    <row r="488" spans="1:7" ht="63" outlineLevel="2" x14ac:dyDescent="0.25">
      <c r="A488" s="52" t="s">
        <v>746</v>
      </c>
      <c r="B488" s="9" t="s">
        <v>56</v>
      </c>
      <c r="C488" s="9" t="s">
        <v>747</v>
      </c>
      <c r="D488" s="9"/>
      <c r="E488" s="10">
        <f>E489</f>
        <v>23273.7</v>
      </c>
      <c r="F488" s="10">
        <f>F489</f>
        <v>0</v>
      </c>
      <c r="G488" s="10">
        <f>G489</f>
        <v>0</v>
      </c>
    </row>
    <row r="489" spans="1:7" ht="31.5" outlineLevel="2" x14ac:dyDescent="0.25">
      <c r="A489" s="48" t="s">
        <v>76</v>
      </c>
      <c r="B489" s="9" t="s">
        <v>56</v>
      </c>
      <c r="C489" s="9" t="s">
        <v>747</v>
      </c>
      <c r="D489" s="9" t="s">
        <v>39</v>
      </c>
      <c r="E489" s="10">
        <f>23467.8-11.6-182.5</f>
        <v>23273.7</v>
      </c>
      <c r="F489" s="10">
        <v>0</v>
      </c>
      <c r="G489" s="10">
        <v>0</v>
      </c>
    </row>
    <row r="490" spans="1:7" ht="63" outlineLevel="2" x14ac:dyDescent="0.25">
      <c r="A490" s="43" t="s">
        <v>736</v>
      </c>
      <c r="B490" s="9" t="s">
        <v>56</v>
      </c>
      <c r="C490" s="9" t="s">
        <v>737</v>
      </c>
      <c r="D490" s="9"/>
      <c r="E490" s="10">
        <f>E491</f>
        <v>16598.5</v>
      </c>
      <c r="F490" s="10">
        <f t="shared" ref="F490:G490" si="153">F491</f>
        <v>0</v>
      </c>
      <c r="G490" s="10">
        <f t="shared" si="153"/>
        <v>0</v>
      </c>
    </row>
    <row r="491" spans="1:7" ht="31.5" outlineLevel="2" x14ac:dyDescent="0.25">
      <c r="A491" s="43" t="s">
        <v>76</v>
      </c>
      <c r="B491" s="9" t="s">
        <v>56</v>
      </c>
      <c r="C491" s="9" t="s">
        <v>737</v>
      </c>
      <c r="D491" s="9" t="s">
        <v>39</v>
      </c>
      <c r="E491" s="10">
        <f>16250.7+347.8</f>
        <v>16598.5</v>
      </c>
      <c r="F491" s="10">
        <v>0</v>
      </c>
      <c r="G491" s="10">
        <v>0</v>
      </c>
    </row>
    <row r="492" spans="1:7" ht="63" outlineLevel="2" x14ac:dyDescent="0.25">
      <c r="A492" s="48" t="s">
        <v>807</v>
      </c>
      <c r="B492" s="9" t="s">
        <v>56</v>
      </c>
      <c r="C492" s="9" t="s">
        <v>808</v>
      </c>
      <c r="D492" s="9"/>
      <c r="E492" s="10">
        <f>+E493</f>
        <v>8078.2999999999993</v>
      </c>
      <c r="F492" s="10">
        <f t="shared" ref="F492:G492" si="154">+F493</f>
        <v>0</v>
      </c>
      <c r="G492" s="10">
        <f t="shared" si="154"/>
        <v>0</v>
      </c>
    </row>
    <row r="493" spans="1:7" ht="31.5" outlineLevel="2" x14ac:dyDescent="0.25">
      <c r="A493" s="48" t="s">
        <v>76</v>
      </c>
      <c r="B493" s="9" t="s">
        <v>56</v>
      </c>
      <c r="C493" s="9" t="s">
        <v>808</v>
      </c>
      <c r="D493" s="9" t="s">
        <v>39</v>
      </c>
      <c r="E493" s="10">
        <f>4506.9+214.3+3357.1</f>
        <v>8078.2999999999993</v>
      </c>
      <c r="F493" s="10">
        <v>0</v>
      </c>
      <c r="G493" s="10">
        <v>0</v>
      </c>
    </row>
    <row r="494" spans="1:7" ht="63" outlineLevel="2" x14ac:dyDescent="0.25">
      <c r="A494" s="63" t="s">
        <v>785</v>
      </c>
      <c r="B494" s="9" t="s">
        <v>56</v>
      </c>
      <c r="C494" s="9" t="s">
        <v>795</v>
      </c>
      <c r="D494" s="9"/>
      <c r="E494" s="10">
        <f>+E495</f>
        <v>500.6</v>
      </c>
      <c r="F494" s="10">
        <f t="shared" ref="F494:G494" si="155">+F495</f>
        <v>0</v>
      </c>
      <c r="G494" s="10">
        <f t="shared" si="155"/>
        <v>0</v>
      </c>
    </row>
    <row r="495" spans="1:7" ht="31.5" outlineLevel="2" x14ac:dyDescent="0.25">
      <c r="A495" s="43" t="s">
        <v>76</v>
      </c>
      <c r="B495" s="9" t="s">
        <v>56</v>
      </c>
      <c r="C495" s="9" t="s">
        <v>795</v>
      </c>
      <c r="D495" s="9" t="s">
        <v>39</v>
      </c>
      <c r="E495" s="10">
        <v>500.6</v>
      </c>
      <c r="F495" s="10">
        <v>0</v>
      </c>
      <c r="G495" s="10">
        <v>0</v>
      </c>
    </row>
    <row r="496" spans="1:7" ht="63" outlineLevel="2" x14ac:dyDescent="0.25">
      <c r="A496" s="63" t="s">
        <v>786</v>
      </c>
      <c r="B496" s="9" t="s">
        <v>56</v>
      </c>
      <c r="C496" s="9" t="s">
        <v>796</v>
      </c>
      <c r="D496" s="9"/>
      <c r="E496" s="10">
        <f>+E497</f>
        <v>496.90000000000003</v>
      </c>
      <c r="F496" s="10">
        <f t="shared" ref="F496:G496" si="156">+F497</f>
        <v>0</v>
      </c>
      <c r="G496" s="10">
        <f t="shared" si="156"/>
        <v>0</v>
      </c>
    </row>
    <row r="497" spans="1:7" ht="31.5" outlineLevel="2" x14ac:dyDescent="0.25">
      <c r="A497" s="43" t="s">
        <v>76</v>
      </c>
      <c r="B497" s="9" t="s">
        <v>56</v>
      </c>
      <c r="C497" s="9" t="s">
        <v>796</v>
      </c>
      <c r="D497" s="9" t="s">
        <v>39</v>
      </c>
      <c r="E497" s="10">
        <v>496.90000000000003</v>
      </c>
      <c r="F497" s="10">
        <v>0</v>
      </c>
      <c r="G497" s="10">
        <v>0</v>
      </c>
    </row>
    <row r="498" spans="1:7" ht="78.75" outlineLevel="2" x14ac:dyDescent="0.25">
      <c r="A498" s="63" t="s">
        <v>787</v>
      </c>
      <c r="B498" s="9" t="s">
        <v>56</v>
      </c>
      <c r="C498" s="9" t="s">
        <v>797</v>
      </c>
      <c r="D498" s="9"/>
      <c r="E498" s="10">
        <f>+E499</f>
        <v>117.1</v>
      </c>
      <c r="F498" s="10">
        <f t="shared" ref="F498:G498" si="157">+F499</f>
        <v>0</v>
      </c>
      <c r="G498" s="10">
        <f t="shared" si="157"/>
        <v>0</v>
      </c>
    </row>
    <row r="499" spans="1:7" ht="31.5" outlineLevel="2" x14ac:dyDescent="0.25">
      <c r="A499" s="43" t="s">
        <v>76</v>
      </c>
      <c r="B499" s="9" t="s">
        <v>56</v>
      </c>
      <c r="C499" s="9" t="s">
        <v>797</v>
      </c>
      <c r="D499" s="9" t="s">
        <v>39</v>
      </c>
      <c r="E499" s="10">
        <v>117.1</v>
      </c>
      <c r="F499" s="10">
        <v>0</v>
      </c>
      <c r="G499" s="10">
        <v>0</v>
      </c>
    </row>
    <row r="500" spans="1:7" ht="63" outlineLevel="2" x14ac:dyDescent="0.25">
      <c r="A500" s="63" t="s">
        <v>788</v>
      </c>
      <c r="B500" s="9" t="s">
        <v>56</v>
      </c>
      <c r="C500" s="9" t="s">
        <v>798</v>
      </c>
      <c r="D500" s="9"/>
      <c r="E500" s="10">
        <f>+E501</f>
        <v>523</v>
      </c>
      <c r="F500" s="10">
        <f t="shared" ref="F500:G500" si="158">+F501</f>
        <v>0</v>
      </c>
      <c r="G500" s="10">
        <f t="shared" si="158"/>
        <v>0</v>
      </c>
    </row>
    <row r="501" spans="1:7" ht="31.5" outlineLevel="2" x14ac:dyDescent="0.25">
      <c r="A501" s="43" t="s">
        <v>76</v>
      </c>
      <c r="B501" s="9" t="s">
        <v>56</v>
      </c>
      <c r="C501" s="9" t="s">
        <v>798</v>
      </c>
      <c r="D501" s="9" t="s">
        <v>39</v>
      </c>
      <c r="E501" s="10">
        <v>523</v>
      </c>
      <c r="F501" s="10">
        <v>0</v>
      </c>
      <c r="G501" s="10">
        <v>0</v>
      </c>
    </row>
    <row r="502" spans="1:7" ht="47.25" outlineLevel="2" x14ac:dyDescent="0.25">
      <c r="A502" s="63" t="s">
        <v>789</v>
      </c>
      <c r="B502" s="9" t="s">
        <v>56</v>
      </c>
      <c r="C502" s="9" t="s">
        <v>799</v>
      </c>
      <c r="D502" s="9"/>
      <c r="E502" s="10">
        <f>+E503</f>
        <v>598.1</v>
      </c>
      <c r="F502" s="10">
        <f t="shared" ref="F502:G502" si="159">+F503</f>
        <v>0</v>
      </c>
      <c r="G502" s="10">
        <f t="shared" si="159"/>
        <v>0</v>
      </c>
    </row>
    <row r="503" spans="1:7" ht="31.5" outlineLevel="2" x14ac:dyDescent="0.25">
      <c r="A503" s="43" t="s">
        <v>76</v>
      </c>
      <c r="B503" s="9" t="s">
        <v>56</v>
      </c>
      <c r="C503" s="9" t="s">
        <v>799</v>
      </c>
      <c r="D503" s="9" t="s">
        <v>39</v>
      </c>
      <c r="E503" s="10">
        <v>598.1</v>
      </c>
      <c r="F503" s="10">
        <v>0</v>
      </c>
      <c r="G503" s="10">
        <v>0</v>
      </c>
    </row>
    <row r="504" spans="1:7" ht="47.25" outlineLevel="2" x14ac:dyDescent="0.25">
      <c r="A504" s="63" t="s">
        <v>790</v>
      </c>
      <c r="B504" s="9" t="s">
        <v>56</v>
      </c>
      <c r="C504" s="9" t="s">
        <v>800</v>
      </c>
      <c r="D504" s="9"/>
      <c r="E504" s="10">
        <f>+E505</f>
        <v>274.09999999999997</v>
      </c>
      <c r="F504" s="10">
        <f t="shared" ref="F504:G504" si="160">+F505</f>
        <v>0</v>
      </c>
      <c r="G504" s="10">
        <f t="shared" si="160"/>
        <v>0</v>
      </c>
    </row>
    <row r="505" spans="1:7" ht="31.5" outlineLevel="2" x14ac:dyDescent="0.25">
      <c r="A505" s="43" t="s">
        <v>76</v>
      </c>
      <c r="B505" s="9" t="s">
        <v>56</v>
      </c>
      <c r="C505" s="9" t="s">
        <v>800</v>
      </c>
      <c r="D505" s="9" t="s">
        <v>39</v>
      </c>
      <c r="E505" s="10">
        <v>274.09999999999997</v>
      </c>
      <c r="F505" s="10">
        <v>0</v>
      </c>
      <c r="G505" s="10">
        <v>0</v>
      </c>
    </row>
    <row r="506" spans="1:7" ht="78.75" outlineLevel="2" x14ac:dyDescent="0.25">
      <c r="A506" s="48" t="s">
        <v>809</v>
      </c>
      <c r="B506" s="9" t="s">
        <v>56</v>
      </c>
      <c r="C506" s="9" t="s">
        <v>810</v>
      </c>
      <c r="D506" s="9"/>
      <c r="E506" s="10">
        <f>+E507</f>
        <v>7101.8</v>
      </c>
      <c r="F506" s="10">
        <f t="shared" ref="F506:G506" si="161">+F507</f>
        <v>0</v>
      </c>
      <c r="G506" s="10">
        <f t="shared" si="161"/>
        <v>0</v>
      </c>
    </row>
    <row r="507" spans="1:7" ht="31.5" outlineLevel="2" x14ac:dyDescent="0.25">
      <c r="A507" s="48" t="s">
        <v>76</v>
      </c>
      <c r="B507" s="9" t="s">
        <v>56</v>
      </c>
      <c r="C507" s="9" t="s">
        <v>810</v>
      </c>
      <c r="D507" s="9" t="s">
        <v>39</v>
      </c>
      <c r="E507" s="10">
        <v>7101.8</v>
      </c>
      <c r="F507" s="10">
        <v>0</v>
      </c>
      <c r="G507" s="10">
        <v>0</v>
      </c>
    </row>
    <row r="508" spans="1:7" ht="63" outlineLevel="2" x14ac:dyDescent="0.25">
      <c r="A508" s="63" t="s">
        <v>791</v>
      </c>
      <c r="B508" s="9" t="s">
        <v>56</v>
      </c>
      <c r="C508" s="9" t="s">
        <v>801</v>
      </c>
      <c r="D508" s="9"/>
      <c r="E508" s="10">
        <f>+E509</f>
        <v>577.80000000000007</v>
      </c>
      <c r="F508" s="10">
        <f t="shared" ref="F508:G508" si="162">+F509</f>
        <v>0</v>
      </c>
      <c r="G508" s="10">
        <f t="shared" si="162"/>
        <v>0</v>
      </c>
    </row>
    <row r="509" spans="1:7" ht="31.5" outlineLevel="2" x14ac:dyDescent="0.25">
      <c r="A509" s="43" t="s">
        <v>76</v>
      </c>
      <c r="B509" s="9" t="s">
        <v>56</v>
      </c>
      <c r="C509" s="9" t="s">
        <v>801</v>
      </c>
      <c r="D509" s="9" t="s">
        <v>39</v>
      </c>
      <c r="E509" s="10">
        <v>577.80000000000007</v>
      </c>
      <c r="F509" s="10">
        <v>0</v>
      </c>
      <c r="G509" s="10">
        <v>0</v>
      </c>
    </row>
    <row r="510" spans="1:7" ht="63" outlineLevel="2" x14ac:dyDescent="0.25">
      <c r="A510" s="63" t="s">
        <v>792</v>
      </c>
      <c r="B510" s="9" t="s">
        <v>56</v>
      </c>
      <c r="C510" s="9" t="s">
        <v>802</v>
      </c>
      <c r="D510" s="9"/>
      <c r="E510" s="10">
        <f>+E511</f>
        <v>575.20000000000005</v>
      </c>
      <c r="F510" s="10">
        <f t="shared" ref="F510:G510" si="163">+F511</f>
        <v>0</v>
      </c>
      <c r="G510" s="10">
        <f t="shared" si="163"/>
        <v>0</v>
      </c>
    </row>
    <row r="511" spans="1:7" ht="31.5" outlineLevel="2" x14ac:dyDescent="0.25">
      <c r="A511" s="43" t="s">
        <v>76</v>
      </c>
      <c r="B511" s="9" t="s">
        <v>56</v>
      </c>
      <c r="C511" s="9" t="s">
        <v>802</v>
      </c>
      <c r="D511" s="9" t="s">
        <v>39</v>
      </c>
      <c r="E511" s="10">
        <v>575.20000000000005</v>
      </c>
      <c r="F511" s="10">
        <v>0</v>
      </c>
      <c r="G511" s="10">
        <v>0</v>
      </c>
    </row>
    <row r="512" spans="1:7" ht="78.75" outlineLevel="2" x14ac:dyDescent="0.25">
      <c r="A512" s="63" t="s">
        <v>793</v>
      </c>
      <c r="B512" s="9" t="s">
        <v>56</v>
      </c>
      <c r="C512" s="9" t="s">
        <v>803</v>
      </c>
      <c r="D512" s="9"/>
      <c r="E512" s="10">
        <f>+E513</f>
        <v>580.5</v>
      </c>
      <c r="F512" s="10">
        <f t="shared" ref="F512:G512" si="164">+F513</f>
        <v>0</v>
      </c>
      <c r="G512" s="10">
        <f t="shared" si="164"/>
        <v>0</v>
      </c>
    </row>
    <row r="513" spans="1:7" ht="31.5" outlineLevel="2" x14ac:dyDescent="0.25">
      <c r="A513" s="43" t="s">
        <v>76</v>
      </c>
      <c r="B513" s="9" t="s">
        <v>56</v>
      </c>
      <c r="C513" s="9" t="s">
        <v>803</v>
      </c>
      <c r="D513" s="9" t="s">
        <v>39</v>
      </c>
      <c r="E513" s="10">
        <f>580.4+0.1</f>
        <v>580.5</v>
      </c>
      <c r="F513" s="10">
        <v>0</v>
      </c>
      <c r="G513" s="10">
        <v>0</v>
      </c>
    </row>
    <row r="514" spans="1:7" ht="63" outlineLevel="2" x14ac:dyDescent="0.25">
      <c r="A514" s="63" t="s">
        <v>794</v>
      </c>
      <c r="B514" s="9" t="s">
        <v>56</v>
      </c>
      <c r="C514" s="9" t="s">
        <v>804</v>
      </c>
      <c r="D514" s="9"/>
      <c r="E514" s="10">
        <f>+E515</f>
        <v>598.69999999999993</v>
      </c>
      <c r="F514" s="10">
        <f t="shared" ref="F514:G514" si="165">+F515</f>
        <v>0</v>
      </c>
      <c r="G514" s="10">
        <f t="shared" si="165"/>
        <v>0</v>
      </c>
    </row>
    <row r="515" spans="1:7" ht="31.5" outlineLevel="2" x14ac:dyDescent="0.25">
      <c r="A515" s="43" t="s">
        <v>76</v>
      </c>
      <c r="B515" s="9" t="s">
        <v>56</v>
      </c>
      <c r="C515" s="9" t="s">
        <v>804</v>
      </c>
      <c r="D515" s="9" t="s">
        <v>39</v>
      </c>
      <c r="E515" s="10">
        <v>598.69999999999993</v>
      </c>
      <c r="F515" s="10">
        <v>0</v>
      </c>
      <c r="G515" s="10">
        <v>0</v>
      </c>
    </row>
    <row r="516" spans="1:7" ht="63" outlineLevel="2" x14ac:dyDescent="0.25">
      <c r="A516" s="49" t="s">
        <v>855</v>
      </c>
      <c r="B516" s="33" t="s">
        <v>56</v>
      </c>
      <c r="C516" s="9" t="s">
        <v>858</v>
      </c>
      <c r="D516" s="33"/>
      <c r="E516" s="10">
        <f>+E517</f>
        <v>5846.4000000000005</v>
      </c>
      <c r="F516" s="10">
        <f t="shared" ref="F516:G516" si="166">+F517</f>
        <v>0</v>
      </c>
      <c r="G516" s="10">
        <f t="shared" si="166"/>
        <v>0</v>
      </c>
    </row>
    <row r="517" spans="1:7" ht="31.5" outlineLevel="2" x14ac:dyDescent="0.25">
      <c r="A517" s="49" t="s">
        <v>76</v>
      </c>
      <c r="B517" s="33" t="s">
        <v>56</v>
      </c>
      <c r="C517" s="9" t="s">
        <v>858</v>
      </c>
      <c r="D517" s="33" t="s">
        <v>39</v>
      </c>
      <c r="E517" s="10">
        <f>350.8+5495.6</f>
        <v>5846.4000000000005</v>
      </c>
      <c r="F517" s="10">
        <v>0</v>
      </c>
      <c r="G517" s="10">
        <v>0</v>
      </c>
    </row>
    <row r="518" spans="1:7" ht="63" outlineLevel="2" x14ac:dyDescent="0.25">
      <c r="A518" s="49" t="s">
        <v>856</v>
      </c>
      <c r="B518" s="33" t="s">
        <v>56</v>
      </c>
      <c r="C518" s="9" t="s">
        <v>859</v>
      </c>
      <c r="D518" s="33"/>
      <c r="E518" s="10">
        <f>+E519</f>
        <v>4072.5</v>
      </c>
      <c r="F518" s="10">
        <f t="shared" ref="F518:G518" si="167">+F519</f>
        <v>0</v>
      </c>
      <c r="G518" s="10">
        <f t="shared" si="167"/>
        <v>0</v>
      </c>
    </row>
    <row r="519" spans="1:7" ht="31.5" outlineLevel="2" x14ac:dyDescent="0.25">
      <c r="A519" s="49" t="s">
        <v>76</v>
      </c>
      <c r="B519" s="33" t="s">
        <v>56</v>
      </c>
      <c r="C519" s="9" t="s">
        <v>859</v>
      </c>
      <c r="D519" s="33" t="s">
        <v>39</v>
      </c>
      <c r="E519" s="10">
        <f>244.3+3828.2</f>
        <v>4072.5</v>
      </c>
      <c r="F519" s="10">
        <v>0</v>
      </c>
      <c r="G519" s="10">
        <v>0</v>
      </c>
    </row>
    <row r="520" spans="1:7" ht="63" outlineLevel="2" x14ac:dyDescent="0.25">
      <c r="A520" s="49" t="s">
        <v>857</v>
      </c>
      <c r="B520" s="33" t="s">
        <v>56</v>
      </c>
      <c r="C520" s="9" t="s">
        <v>860</v>
      </c>
      <c r="D520" s="33"/>
      <c r="E520" s="10">
        <f>+E521</f>
        <v>6906</v>
      </c>
      <c r="F520" s="10">
        <f t="shared" ref="F520:G520" si="168">+F521</f>
        <v>0</v>
      </c>
      <c r="G520" s="10">
        <f t="shared" si="168"/>
        <v>0</v>
      </c>
    </row>
    <row r="521" spans="1:7" ht="31.5" outlineLevel="2" x14ac:dyDescent="0.25">
      <c r="A521" s="49" t="s">
        <v>76</v>
      </c>
      <c r="B521" s="33" t="s">
        <v>56</v>
      </c>
      <c r="C521" s="9" t="s">
        <v>860</v>
      </c>
      <c r="D521" s="33" t="s">
        <v>39</v>
      </c>
      <c r="E521" s="10">
        <f>414.4+6491.6</f>
        <v>6906</v>
      </c>
      <c r="F521" s="10">
        <v>0</v>
      </c>
      <c r="G521" s="10">
        <v>0</v>
      </c>
    </row>
    <row r="522" spans="1:7" ht="47.25" outlineLevel="2" x14ac:dyDescent="0.25">
      <c r="A522" s="48" t="s">
        <v>547</v>
      </c>
      <c r="B522" s="9" t="s">
        <v>56</v>
      </c>
      <c r="C522" s="9" t="s">
        <v>548</v>
      </c>
      <c r="D522" s="9"/>
      <c r="E522" s="10">
        <f>E523</f>
        <v>17789</v>
      </c>
      <c r="F522" s="10">
        <f t="shared" ref="F522:G523" si="169">F523</f>
        <v>0</v>
      </c>
      <c r="G522" s="10">
        <f t="shared" si="169"/>
        <v>0</v>
      </c>
    </row>
    <row r="523" spans="1:7" ht="31.5" outlineLevel="2" x14ac:dyDescent="0.25">
      <c r="A523" s="50" t="s">
        <v>397</v>
      </c>
      <c r="B523" s="9" t="s">
        <v>56</v>
      </c>
      <c r="C523" s="9" t="s">
        <v>549</v>
      </c>
      <c r="D523" s="9"/>
      <c r="E523" s="10">
        <f>E524</f>
        <v>17789</v>
      </c>
      <c r="F523" s="10">
        <f t="shared" si="169"/>
        <v>0</v>
      </c>
      <c r="G523" s="10">
        <f t="shared" si="169"/>
        <v>0</v>
      </c>
    </row>
    <row r="524" spans="1:7" outlineLevel="2" x14ac:dyDescent="0.25">
      <c r="A524" s="50" t="s">
        <v>33</v>
      </c>
      <c r="B524" s="9" t="s">
        <v>56</v>
      </c>
      <c r="C524" s="9" t="s">
        <v>549</v>
      </c>
      <c r="D524" s="9" t="s">
        <v>522</v>
      </c>
      <c r="E524" s="10">
        <f>17334.7-8657-0.1+9111.4</f>
        <v>17789</v>
      </c>
      <c r="F524" s="10">
        <v>0</v>
      </c>
      <c r="G524" s="10">
        <v>0</v>
      </c>
    </row>
    <row r="525" spans="1:7" outlineLevel="2" x14ac:dyDescent="0.25">
      <c r="A525" s="47" t="s">
        <v>144</v>
      </c>
      <c r="B525" s="16" t="s">
        <v>56</v>
      </c>
      <c r="C525" s="16" t="s">
        <v>83</v>
      </c>
      <c r="D525" s="13"/>
      <c r="E525" s="10">
        <f>E526+E536</f>
        <v>463374.69999999995</v>
      </c>
      <c r="F525" s="10">
        <f>F526+F536</f>
        <v>471812.30000000005</v>
      </c>
      <c r="G525" s="10">
        <f>G526+G536</f>
        <v>493489.5</v>
      </c>
    </row>
    <row r="526" spans="1:7" ht="63" outlineLevel="2" x14ac:dyDescent="0.25">
      <c r="A526" s="47" t="s">
        <v>387</v>
      </c>
      <c r="B526" s="16" t="s">
        <v>56</v>
      </c>
      <c r="C526" s="16" t="s">
        <v>388</v>
      </c>
      <c r="D526" s="13"/>
      <c r="E526" s="10">
        <f>E3115+E532+E534+E529+E527</f>
        <v>446971.6</v>
      </c>
      <c r="F526" s="10">
        <f>F3115+F532+F534+F529+F527</f>
        <v>454753.4</v>
      </c>
      <c r="G526" s="10">
        <f>G3115+G532+G534+G529+G527</f>
        <v>475748.6</v>
      </c>
    </row>
    <row r="527" spans="1:7" ht="63" outlineLevel="2" x14ac:dyDescent="0.25">
      <c r="A527" s="50" t="s">
        <v>389</v>
      </c>
      <c r="B527" s="12" t="s">
        <v>56</v>
      </c>
      <c r="C527" s="12" t="s">
        <v>390</v>
      </c>
      <c r="D527" s="13"/>
      <c r="E527" s="10">
        <f>E528</f>
        <v>6751</v>
      </c>
      <c r="F527" s="10">
        <f t="shared" ref="F527:G527" si="170">F528</f>
        <v>0</v>
      </c>
      <c r="G527" s="10">
        <f t="shared" si="170"/>
        <v>0</v>
      </c>
    </row>
    <row r="528" spans="1:7" ht="31.5" outlineLevel="2" x14ac:dyDescent="0.25">
      <c r="A528" s="46" t="s">
        <v>76</v>
      </c>
      <c r="B528" s="12" t="s">
        <v>56</v>
      </c>
      <c r="C528" s="12" t="s">
        <v>390</v>
      </c>
      <c r="D528" s="13">
        <v>200</v>
      </c>
      <c r="E528" s="10">
        <f>6973-222</f>
        <v>6751</v>
      </c>
      <c r="F528" s="10">
        <v>0</v>
      </c>
      <c r="G528" s="10">
        <v>0</v>
      </c>
    </row>
    <row r="529" spans="1:7" ht="110.25" outlineLevel="2" x14ac:dyDescent="0.25">
      <c r="A529" s="50" t="s">
        <v>393</v>
      </c>
      <c r="B529" s="9" t="s">
        <v>56</v>
      </c>
      <c r="C529" s="9" t="s">
        <v>598</v>
      </c>
      <c r="D529" s="9"/>
      <c r="E529" s="10">
        <f>SUM(E530:E531)</f>
        <v>231052.6</v>
      </c>
      <c r="F529" s="10">
        <f t="shared" ref="F529:G529" si="171">SUM(F530:F531)</f>
        <v>246313.9</v>
      </c>
      <c r="G529" s="10">
        <f t="shared" si="171"/>
        <v>255918.4</v>
      </c>
    </row>
    <row r="530" spans="1:7" ht="31.5" outlineLevel="2" x14ac:dyDescent="0.25">
      <c r="A530" s="48" t="s">
        <v>76</v>
      </c>
      <c r="B530" s="9" t="s">
        <v>56</v>
      </c>
      <c r="C530" s="9" t="s">
        <v>598</v>
      </c>
      <c r="D530" s="9" t="s">
        <v>39</v>
      </c>
      <c r="E530" s="10">
        <v>44.9</v>
      </c>
      <c r="F530" s="10">
        <v>44.9</v>
      </c>
      <c r="G530" s="10">
        <v>44.9</v>
      </c>
    </row>
    <row r="531" spans="1:7" outlineLevel="2" x14ac:dyDescent="0.25">
      <c r="A531" s="50" t="s">
        <v>33</v>
      </c>
      <c r="B531" s="9" t="s">
        <v>56</v>
      </c>
      <c r="C531" s="9" t="s">
        <v>598</v>
      </c>
      <c r="D531" s="9" t="s">
        <v>522</v>
      </c>
      <c r="E531" s="10">
        <v>231007.7</v>
      </c>
      <c r="F531" s="10">
        <v>246269</v>
      </c>
      <c r="G531" s="10">
        <v>255873.5</v>
      </c>
    </row>
    <row r="532" spans="1:7" ht="94.5" outlineLevel="2" x14ac:dyDescent="0.25">
      <c r="A532" s="50" t="s">
        <v>392</v>
      </c>
      <c r="B532" s="9" t="s">
        <v>56</v>
      </c>
      <c r="C532" s="9" t="s">
        <v>550</v>
      </c>
      <c r="D532" s="9"/>
      <c r="E532" s="10">
        <f>E533</f>
        <v>4457</v>
      </c>
      <c r="F532" s="10">
        <f t="shared" ref="F532:G532" si="172">F533</f>
        <v>4938.2</v>
      </c>
      <c r="G532" s="10">
        <f t="shared" si="172"/>
        <v>5135.7000000000007</v>
      </c>
    </row>
    <row r="533" spans="1:7" ht="31.5" outlineLevel="2" x14ac:dyDescent="0.25">
      <c r="A533" s="48" t="s">
        <v>20</v>
      </c>
      <c r="B533" s="9" t="s">
        <v>56</v>
      </c>
      <c r="C533" s="9" t="s">
        <v>550</v>
      </c>
      <c r="D533" s="9" t="s">
        <v>551</v>
      </c>
      <c r="E533" s="10">
        <v>4457</v>
      </c>
      <c r="F533" s="10">
        <v>4938.2</v>
      </c>
      <c r="G533" s="10">
        <v>5135.7000000000007</v>
      </c>
    </row>
    <row r="534" spans="1:7" ht="63" outlineLevel="2" x14ac:dyDescent="0.25">
      <c r="A534" s="50" t="s">
        <v>391</v>
      </c>
      <c r="B534" s="9" t="s">
        <v>56</v>
      </c>
      <c r="C534" s="9" t="s">
        <v>552</v>
      </c>
      <c r="D534" s="9"/>
      <c r="E534" s="10">
        <f>E535</f>
        <v>204710.99999999997</v>
      </c>
      <c r="F534" s="10">
        <f t="shared" ref="F534:G534" si="173">F535</f>
        <v>203501.30000000002</v>
      </c>
      <c r="G534" s="10">
        <f t="shared" si="173"/>
        <v>214694.5</v>
      </c>
    </row>
    <row r="535" spans="1:7" outlineLevel="2" x14ac:dyDescent="0.25">
      <c r="A535" s="50" t="s">
        <v>33</v>
      </c>
      <c r="B535" s="9" t="s">
        <v>56</v>
      </c>
      <c r="C535" s="9" t="s">
        <v>552</v>
      </c>
      <c r="D535" s="9" t="s">
        <v>522</v>
      </c>
      <c r="E535" s="10">
        <f>192273.4+746.3+11691.3</f>
        <v>204710.99999999997</v>
      </c>
      <c r="F535" s="10">
        <v>203501.30000000002</v>
      </c>
      <c r="G535" s="10">
        <f>214694.5-0.1+0.1</f>
        <v>214694.5</v>
      </c>
    </row>
    <row r="536" spans="1:7" ht="47.25" outlineLevel="2" x14ac:dyDescent="0.25">
      <c r="A536" s="47" t="s">
        <v>381</v>
      </c>
      <c r="B536" s="16" t="s">
        <v>56</v>
      </c>
      <c r="C536" s="16" t="s">
        <v>382</v>
      </c>
      <c r="D536" s="13"/>
      <c r="E536" s="10">
        <f>E537+E539</f>
        <v>16403.100000000002</v>
      </c>
      <c r="F536" s="10">
        <f t="shared" ref="F536:G536" si="174">F537+F539</f>
        <v>17058.900000000001</v>
      </c>
      <c r="G536" s="10">
        <f t="shared" si="174"/>
        <v>17740.900000000001</v>
      </c>
    </row>
    <row r="537" spans="1:7" ht="47.25" outlineLevel="2" x14ac:dyDescent="0.25">
      <c r="A537" s="38" t="s">
        <v>394</v>
      </c>
      <c r="B537" s="12" t="s">
        <v>56</v>
      </c>
      <c r="C537" s="12" t="s">
        <v>395</v>
      </c>
      <c r="D537" s="13"/>
      <c r="E537" s="10">
        <f>E538</f>
        <v>16395.2</v>
      </c>
      <c r="F537" s="10">
        <f t="shared" ref="F537:G537" si="175">F538</f>
        <v>17051</v>
      </c>
      <c r="G537" s="10">
        <f t="shared" si="175"/>
        <v>17733</v>
      </c>
    </row>
    <row r="538" spans="1:7" outlineLevel="2" x14ac:dyDescent="0.25">
      <c r="A538" s="50" t="s">
        <v>33</v>
      </c>
      <c r="B538" s="12" t="s">
        <v>56</v>
      </c>
      <c r="C538" s="12" t="s">
        <v>395</v>
      </c>
      <c r="D538" s="13">
        <v>800</v>
      </c>
      <c r="E538" s="10">
        <v>16395.2</v>
      </c>
      <c r="F538" s="10">
        <v>17051</v>
      </c>
      <c r="G538" s="10">
        <v>17733</v>
      </c>
    </row>
    <row r="539" spans="1:7" ht="81" customHeight="1" outlineLevel="2" x14ac:dyDescent="0.25">
      <c r="A539" s="50" t="s">
        <v>721</v>
      </c>
      <c r="B539" s="12" t="s">
        <v>56</v>
      </c>
      <c r="C539" s="12" t="s">
        <v>396</v>
      </c>
      <c r="D539" s="13"/>
      <c r="E539" s="10">
        <f>E540</f>
        <v>7.9</v>
      </c>
      <c r="F539" s="10">
        <f t="shared" ref="F539:G539" si="176">F540</f>
        <v>7.9</v>
      </c>
      <c r="G539" s="10">
        <f t="shared" si="176"/>
        <v>7.9</v>
      </c>
    </row>
    <row r="540" spans="1:7" outlineLevel="2" x14ac:dyDescent="0.25">
      <c r="A540" s="50" t="s">
        <v>33</v>
      </c>
      <c r="B540" s="12" t="s">
        <v>56</v>
      </c>
      <c r="C540" s="12" t="s">
        <v>396</v>
      </c>
      <c r="D540" s="13">
        <v>800</v>
      </c>
      <c r="E540" s="10">
        <v>7.9</v>
      </c>
      <c r="F540" s="10">
        <v>7.9</v>
      </c>
      <c r="G540" s="10">
        <v>7.9</v>
      </c>
    </row>
    <row r="541" spans="1:7" outlineLevel="1" x14ac:dyDescent="0.25">
      <c r="A541" s="48" t="s">
        <v>57</v>
      </c>
      <c r="B541" s="12" t="s">
        <v>58</v>
      </c>
      <c r="D541" s="1"/>
      <c r="E541" s="10">
        <f>E548+E542</f>
        <v>1589835.3000000003</v>
      </c>
      <c r="F541" s="10">
        <f t="shared" ref="F541:G541" si="177">F548+F542</f>
        <v>813986.99999999988</v>
      </c>
      <c r="G541" s="10">
        <f t="shared" si="177"/>
        <v>741954.8</v>
      </c>
    </row>
    <row r="542" spans="1:7" outlineLevel="2" x14ac:dyDescent="0.25">
      <c r="A542" s="48" t="s">
        <v>9</v>
      </c>
      <c r="B542" s="12" t="s">
        <v>58</v>
      </c>
      <c r="C542" s="12" t="s">
        <v>10</v>
      </c>
      <c r="D542" s="12"/>
      <c r="E542" s="10">
        <f>+E543+E546</f>
        <v>32909.100000000006</v>
      </c>
      <c r="F542" s="10">
        <f t="shared" ref="F542:G542" si="178">+F543</f>
        <v>0</v>
      </c>
      <c r="G542" s="10">
        <f t="shared" si="178"/>
        <v>0</v>
      </c>
    </row>
    <row r="543" spans="1:7" ht="31.5" outlineLevel="2" x14ac:dyDescent="0.25">
      <c r="A543" s="80" t="s">
        <v>65</v>
      </c>
      <c r="B543" s="81" t="s">
        <v>58</v>
      </c>
      <c r="C543" s="81" t="s">
        <v>66</v>
      </c>
      <c r="D543" s="81"/>
      <c r="E543" s="10">
        <f>+E545+E544</f>
        <v>13049.7</v>
      </c>
      <c r="F543" s="10">
        <f>+F545</f>
        <v>0</v>
      </c>
      <c r="G543" s="10">
        <f>+G545</f>
        <v>0</v>
      </c>
    </row>
    <row r="544" spans="1:7" ht="31.5" outlineLevel="2" x14ac:dyDescent="0.25">
      <c r="A544" s="82" t="s">
        <v>76</v>
      </c>
      <c r="B544" s="76" t="s">
        <v>58</v>
      </c>
      <c r="C544" s="76" t="s">
        <v>66</v>
      </c>
      <c r="D544" s="76" t="s">
        <v>39</v>
      </c>
      <c r="E544" s="90">
        <v>10318</v>
      </c>
      <c r="F544" s="10">
        <v>0</v>
      </c>
      <c r="G544" s="10">
        <v>0</v>
      </c>
    </row>
    <row r="545" spans="1:8" ht="47.25" outlineLevel="2" x14ac:dyDescent="0.25">
      <c r="A545" s="83" t="s">
        <v>94</v>
      </c>
      <c r="B545" s="81" t="s">
        <v>58</v>
      </c>
      <c r="C545" s="81" t="s">
        <v>66</v>
      </c>
      <c r="D545" s="81" t="s">
        <v>95</v>
      </c>
      <c r="E545" s="10">
        <v>2731.7</v>
      </c>
      <c r="F545" s="10">
        <v>0</v>
      </c>
      <c r="G545" s="10">
        <v>0</v>
      </c>
    </row>
    <row r="546" spans="1:8" ht="31.5" outlineLevel="2" x14ac:dyDescent="0.25">
      <c r="A546" s="61" t="s">
        <v>867</v>
      </c>
      <c r="B546" s="33" t="s">
        <v>58</v>
      </c>
      <c r="C546" s="9" t="s">
        <v>868</v>
      </c>
      <c r="D546" s="33"/>
      <c r="E546" s="10">
        <f>+E547</f>
        <v>19859.400000000001</v>
      </c>
      <c r="F546" s="10">
        <v>0</v>
      </c>
      <c r="G546" s="10">
        <v>0</v>
      </c>
    </row>
    <row r="547" spans="1:8" ht="47.25" outlineLevel="2" x14ac:dyDescent="0.25">
      <c r="A547" s="61" t="s">
        <v>94</v>
      </c>
      <c r="B547" s="33" t="s">
        <v>58</v>
      </c>
      <c r="C547" s="9" t="s">
        <v>868</v>
      </c>
      <c r="D547" s="33" t="s">
        <v>95</v>
      </c>
      <c r="E547" s="10">
        <v>19859.400000000001</v>
      </c>
      <c r="F547" s="10">
        <v>0</v>
      </c>
      <c r="G547" s="10">
        <v>0</v>
      </c>
    </row>
    <row r="548" spans="1:8" ht="47.25" outlineLevel="2" x14ac:dyDescent="0.25">
      <c r="A548" s="47" t="s">
        <v>368</v>
      </c>
      <c r="B548" s="12" t="s">
        <v>58</v>
      </c>
      <c r="C548" s="1" t="s">
        <v>369</v>
      </c>
      <c r="D548" s="13"/>
      <c r="E548" s="10">
        <f>E559+E593+E549</f>
        <v>1556926.2000000002</v>
      </c>
      <c r="F548" s="10">
        <f>F559+F593+F549</f>
        <v>813986.99999999988</v>
      </c>
      <c r="G548" s="10">
        <f>G559+G593+G549</f>
        <v>741954.8</v>
      </c>
    </row>
    <row r="549" spans="1:8" outlineLevel="2" x14ac:dyDescent="0.25">
      <c r="A549" s="11" t="s">
        <v>227</v>
      </c>
      <c r="B549" s="9" t="s">
        <v>58</v>
      </c>
      <c r="C549" s="9" t="s">
        <v>525</v>
      </c>
      <c r="D549" s="9"/>
      <c r="E549" s="10">
        <f>E550</f>
        <v>420987.3</v>
      </c>
      <c r="F549" s="10">
        <f t="shared" ref="F549:G553" si="179">F550</f>
        <v>108975.9</v>
      </c>
      <c r="G549" s="10">
        <f t="shared" si="179"/>
        <v>104473.4</v>
      </c>
    </row>
    <row r="550" spans="1:8" ht="47.25" outlineLevel="2" x14ac:dyDescent="0.25">
      <c r="A550" s="11" t="s">
        <v>523</v>
      </c>
      <c r="B550" s="9" t="s">
        <v>58</v>
      </c>
      <c r="C550" s="9" t="s">
        <v>526</v>
      </c>
      <c r="D550" s="9"/>
      <c r="E550" s="10">
        <f>E553+E551+E555+E557</f>
        <v>420987.3</v>
      </c>
      <c r="F550" s="10">
        <f t="shared" ref="F550:G550" si="180">F553+F551</f>
        <v>108975.9</v>
      </c>
      <c r="G550" s="10">
        <f t="shared" si="180"/>
        <v>104473.4</v>
      </c>
    </row>
    <row r="551" spans="1:8" ht="78.75" outlineLevel="2" x14ac:dyDescent="0.25">
      <c r="A551" s="46" t="s">
        <v>528</v>
      </c>
      <c r="B551" s="9" t="s">
        <v>58</v>
      </c>
      <c r="C551" s="9" t="s">
        <v>529</v>
      </c>
      <c r="D551" s="9"/>
      <c r="E551" s="10">
        <f>E552</f>
        <v>306091.2</v>
      </c>
      <c r="F551" s="10">
        <f t="shared" ref="F551:G551" si="181">F552</f>
        <v>0</v>
      </c>
      <c r="G551" s="10">
        <f t="shared" si="181"/>
        <v>0</v>
      </c>
    </row>
    <row r="552" spans="1:8" ht="47.25" outlineLevel="2" x14ac:dyDescent="0.25">
      <c r="A552" s="46" t="s">
        <v>94</v>
      </c>
      <c r="B552" s="9" t="s">
        <v>58</v>
      </c>
      <c r="C552" s="9" t="s">
        <v>529</v>
      </c>
      <c r="D552" s="9" t="s">
        <v>95</v>
      </c>
      <c r="E552" s="10">
        <v>306091.2</v>
      </c>
      <c r="F552" s="10">
        <v>0</v>
      </c>
      <c r="G552" s="10">
        <v>0</v>
      </c>
    </row>
    <row r="553" spans="1:8" ht="31.5" outlineLevel="2" x14ac:dyDescent="0.25">
      <c r="A553" s="43" t="s">
        <v>524</v>
      </c>
      <c r="B553" s="9" t="s">
        <v>58</v>
      </c>
      <c r="C553" s="9" t="s">
        <v>527</v>
      </c>
      <c r="D553" s="9"/>
      <c r="E553" s="10">
        <f t="shared" ref="E553" si="182">E554</f>
        <v>112202.4</v>
      </c>
      <c r="F553" s="10">
        <f t="shared" si="179"/>
        <v>108975.9</v>
      </c>
      <c r="G553" s="10">
        <f t="shared" si="179"/>
        <v>104473.4</v>
      </c>
    </row>
    <row r="554" spans="1:8" ht="31.5" outlineLevel="2" x14ac:dyDescent="0.25">
      <c r="A554" s="43" t="s">
        <v>76</v>
      </c>
      <c r="B554" s="9" t="s">
        <v>58</v>
      </c>
      <c r="C554" s="9" t="s">
        <v>527</v>
      </c>
      <c r="D554" s="9" t="s">
        <v>39</v>
      </c>
      <c r="E554" s="10">
        <f>113495.4-13-1280</f>
        <v>112202.4</v>
      </c>
      <c r="F554" s="10">
        <v>108975.9</v>
      </c>
      <c r="G554" s="10">
        <v>104473.4</v>
      </c>
    </row>
    <row r="555" spans="1:8" ht="78.75" outlineLevel="2" x14ac:dyDescent="0.25">
      <c r="A555" s="46" t="s">
        <v>528</v>
      </c>
      <c r="B555" s="9" t="s">
        <v>58</v>
      </c>
      <c r="C555" s="9" t="s">
        <v>710</v>
      </c>
      <c r="D555" s="9"/>
      <c r="E555" s="10">
        <f t="shared" ref="E555:G555" si="183">E556</f>
        <v>757.5</v>
      </c>
      <c r="F555" s="10">
        <f t="shared" si="183"/>
        <v>0</v>
      </c>
      <c r="G555" s="10">
        <f t="shared" si="183"/>
        <v>0</v>
      </c>
    </row>
    <row r="556" spans="1:8" ht="47.25" outlineLevel="2" x14ac:dyDescent="0.25">
      <c r="A556" s="46" t="s">
        <v>94</v>
      </c>
      <c r="B556" s="9" t="s">
        <v>58</v>
      </c>
      <c r="C556" s="9" t="s">
        <v>710</v>
      </c>
      <c r="D556" s="9" t="s">
        <v>95</v>
      </c>
      <c r="E556" s="10">
        <f>157.5+600</f>
        <v>757.5</v>
      </c>
      <c r="F556" s="10">
        <v>0</v>
      </c>
      <c r="G556" s="10">
        <v>0</v>
      </c>
    </row>
    <row r="557" spans="1:8" ht="31.5" outlineLevel="2" x14ac:dyDescent="0.25">
      <c r="A557" s="62" t="s">
        <v>524</v>
      </c>
      <c r="B557" s="33" t="s">
        <v>58</v>
      </c>
      <c r="C557" s="9" t="s">
        <v>866</v>
      </c>
      <c r="D557" s="33"/>
      <c r="E557" s="10">
        <f>+E558</f>
        <v>1936.2</v>
      </c>
      <c r="F557" s="10">
        <f t="shared" ref="F557:G557" si="184">+F558</f>
        <v>0</v>
      </c>
      <c r="G557" s="10">
        <f t="shared" si="184"/>
        <v>0</v>
      </c>
    </row>
    <row r="558" spans="1:8" ht="31.5" outlineLevel="2" x14ac:dyDescent="0.25">
      <c r="A558" s="62" t="s">
        <v>76</v>
      </c>
      <c r="B558" s="33" t="s">
        <v>58</v>
      </c>
      <c r="C558" s="9" t="s">
        <v>866</v>
      </c>
      <c r="D558" s="33" t="s">
        <v>39</v>
      </c>
      <c r="E558" s="10">
        <v>1936.2</v>
      </c>
      <c r="F558" s="10">
        <v>0</v>
      </c>
      <c r="G558" s="10">
        <v>0</v>
      </c>
    </row>
    <row r="559" spans="1:8" ht="31.5" outlineLevel="2" x14ac:dyDescent="0.25">
      <c r="A559" s="47" t="s">
        <v>154</v>
      </c>
      <c r="B559" s="16" t="s">
        <v>58</v>
      </c>
      <c r="C559" s="16" t="s">
        <v>370</v>
      </c>
      <c r="D559" s="13"/>
      <c r="E559" s="10">
        <f>E560</f>
        <v>341222.8</v>
      </c>
      <c r="F559" s="10">
        <f t="shared" ref="F559:G559" si="185">F560</f>
        <v>190849.3</v>
      </c>
      <c r="G559" s="10">
        <f t="shared" si="185"/>
        <v>112766</v>
      </c>
    </row>
    <row r="560" spans="1:8" ht="63" outlineLevel="2" x14ac:dyDescent="0.25">
      <c r="A560" s="47" t="s">
        <v>371</v>
      </c>
      <c r="B560" s="12" t="s">
        <v>58</v>
      </c>
      <c r="C560" s="12" t="s">
        <v>372</v>
      </c>
      <c r="D560" s="13"/>
      <c r="E560" s="10">
        <f>E561+E565+E589+E591+E567+E569+E571+E563+E587+E573+E583+E575+E577+E585+E579+E581</f>
        <v>341222.8</v>
      </c>
      <c r="F560" s="10">
        <f>F561+F565+F589+F591+F567+F569+F571+F563+F587+F573+F583+F575+F577+F585+F579+F581</f>
        <v>190849.3</v>
      </c>
      <c r="G560" s="10">
        <f>G561+G565+G589+G591+G567+G569+G571+G563+G587+G573+G583+G575+G577+G585+G579+G581</f>
        <v>112766</v>
      </c>
      <c r="H560" s="10"/>
    </row>
    <row r="561" spans="1:7" ht="47.25" outlineLevel="2" x14ac:dyDescent="0.25">
      <c r="A561" s="47" t="s">
        <v>485</v>
      </c>
      <c r="B561" s="16" t="s">
        <v>58</v>
      </c>
      <c r="C561" s="16" t="s">
        <v>403</v>
      </c>
      <c r="D561" s="16"/>
      <c r="E561" s="10">
        <f>E562</f>
        <v>21649</v>
      </c>
      <c r="F561" s="10">
        <f t="shared" ref="F561:G561" si="186">F562</f>
        <v>0</v>
      </c>
      <c r="G561" s="10">
        <f t="shared" si="186"/>
        <v>0</v>
      </c>
    </row>
    <row r="562" spans="1:7" ht="31.5" outlineLevel="2" x14ac:dyDescent="0.25">
      <c r="A562" s="47" t="s">
        <v>76</v>
      </c>
      <c r="B562" s="16" t="s">
        <v>58</v>
      </c>
      <c r="C562" s="16" t="s">
        <v>403</v>
      </c>
      <c r="D562" s="16" t="s">
        <v>39</v>
      </c>
      <c r="E562" s="10">
        <v>21649</v>
      </c>
      <c r="F562" s="10">
        <v>0</v>
      </c>
      <c r="G562" s="10">
        <v>0</v>
      </c>
    </row>
    <row r="563" spans="1:7" ht="47.25" outlineLevel="2" x14ac:dyDescent="0.25">
      <c r="A563" s="46" t="s">
        <v>706</v>
      </c>
      <c r="B563" s="9" t="s">
        <v>58</v>
      </c>
      <c r="C563" s="9" t="s">
        <v>707</v>
      </c>
      <c r="D563" s="9"/>
      <c r="E563" s="10">
        <f t="shared" ref="E563:G563" si="187">E564</f>
        <v>303</v>
      </c>
      <c r="F563" s="10">
        <f t="shared" si="187"/>
        <v>0</v>
      </c>
      <c r="G563" s="10">
        <f t="shared" si="187"/>
        <v>0</v>
      </c>
    </row>
    <row r="564" spans="1:7" ht="31.5" outlineLevel="2" x14ac:dyDescent="0.25">
      <c r="A564" s="46" t="s">
        <v>76</v>
      </c>
      <c r="B564" s="9" t="s">
        <v>58</v>
      </c>
      <c r="C564" s="9" t="s">
        <v>707</v>
      </c>
      <c r="D564" s="9" t="s">
        <v>39</v>
      </c>
      <c r="E564" s="10">
        <v>303</v>
      </c>
      <c r="F564" s="10">
        <v>0</v>
      </c>
      <c r="G564" s="10">
        <v>0</v>
      </c>
    </row>
    <row r="565" spans="1:7" outlineLevel="2" x14ac:dyDescent="0.25">
      <c r="A565" s="47" t="s">
        <v>373</v>
      </c>
      <c r="B565" s="12" t="s">
        <v>58</v>
      </c>
      <c r="C565" s="12" t="s">
        <v>374</v>
      </c>
      <c r="D565" s="1"/>
      <c r="E565" s="10">
        <f>E566</f>
        <v>38619.299999999996</v>
      </c>
      <c r="F565" s="10">
        <f t="shared" ref="F565:G565" si="188">F566</f>
        <v>0</v>
      </c>
      <c r="G565" s="10">
        <f t="shared" si="188"/>
        <v>0</v>
      </c>
    </row>
    <row r="566" spans="1:7" ht="31.5" outlineLevel="2" x14ac:dyDescent="0.25">
      <c r="A566" s="47" t="s">
        <v>76</v>
      </c>
      <c r="B566" s="12" t="s">
        <v>58</v>
      </c>
      <c r="C566" s="12" t="s">
        <v>374</v>
      </c>
      <c r="D566" s="1">
        <v>200</v>
      </c>
      <c r="E566" s="10">
        <v>38619.299999999996</v>
      </c>
      <c r="F566" s="10">
        <v>0</v>
      </c>
      <c r="G566" s="10">
        <v>0</v>
      </c>
    </row>
    <row r="567" spans="1:7" ht="31.5" outlineLevel="2" x14ac:dyDescent="0.25">
      <c r="A567" s="43" t="s">
        <v>594</v>
      </c>
      <c r="B567" s="9" t="s">
        <v>58</v>
      </c>
      <c r="C567" s="9" t="s">
        <v>596</v>
      </c>
      <c r="D567" s="9"/>
      <c r="E567" s="10">
        <f>E568</f>
        <v>15372.1</v>
      </c>
      <c r="F567" s="10">
        <f t="shared" ref="F567:G567" si="189">F568</f>
        <v>0</v>
      </c>
      <c r="G567" s="10">
        <f t="shared" si="189"/>
        <v>0</v>
      </c>
    </row>
    <row r="568" spans="1:7" ht="31.5" outlineLevel="2" x14ac:dyDescent="0.25">
      <c r="A568" s="43" t="s">
        <v>76</v>
      </c>
      <c r="B568" s="9" t="s">
        <v>58</v>
      </c>
      <c r="C568" s="9" t="s">
        <v>596</v>
      </c>
      <c r="D568" s="9">
        <v>200</v>
      </c>
      <c r="E568" s="10">
        <v>15372.1</v>
      </c>
      <c r="F568" s="10">
        <v>0</v>
      </c>
      <c r="G568" s="10">
        <v>0</v>
      </c>
    </row>
    <row r="569" spans="1:7" ht="47.25" outlineLevel="2" x14ac:dyDescent="0.25">
      <c r="A569" s="43" t="s">
        <v>595</v>
      </c>
      <c r="B569" s="9" t="s">
        <v>58</v>
      </c>
      <c r="C569" s="9" t="s">
        <v>597</v>
      </c>
      <c r="D569" s="9"/>
      <c r="E569" s="10">
        <f>E570</f>
        <v>2368</v>
      </c>
      <c r="F569" s="10">
        <f t="shared" ref="F569:G587" si="190">F570</f>
        <v>0</v>
      </c>
      <c r="G569" s="10">
        <f t="shared" si="190"/>
        <v>0</v>
      </c>
    </row>
    <row r="570" spans="1:7" ht="31.5" outlineLevel="2" x14ac:dyDescent="0.25">
      <c r="A570" s="43" t="s">
        <v>76</v>
      </c>
      <c r="B570" s="9" t="s">
        <v>58</v>
      </c>
      <c r="C570" s="9" t="s">
        <v>597</v>
      </c>
      <c r="D570" s="9">
        <v>200</v>
      </c>
      <c r="E570" s="10">
        <v>2368</v>
      </c>
      <c r="F570" s="10">
        <v>0</v>
      </c>
      <c r="G570" s="10">
        <v>0</v>
      </c>
    </row>
    <row r="571" spans="1:7" ht="47.25" outlineLevel="2" x14ac:dyDescent="0.25">
      <c r="A571" s="43" t="s">
        <v>901</v>
      </c>
      <c r="B571" s="9" t="s">
        <v>58</v>
      </c>
      <c r="C571" s="9" t="s">
        <v>703</v>
      </c>
      <c r="D571" s="9"/>
      <c r="E571" s="10">
        <f>E572</f>
        <v>50456.9</v>
      </c>
      <c r="F571" s="10">
        <f t="shared" si="190"/>
        <v>0</v>
      </c>
      <c r="G571" s="10">
        <f t="shared" si="190"/>
        <v>0</v>
      </c>
    </row>
    <row r="572" spans="1:7" ht="31.5" outlineLevel="2" x14ac:dyDescent="0.25">
      <c r="A572" s="43" t="s">
        <v>76</v>
      </c>
      <c r="B572" s="9" t="s">
        <v>58</v>
      </c>
      <c r="C572" s="9" t="s">
        <v>703</v>
      </c>
      <c r="D572" s="9">
        <v>200</v>
      </c>
      <c r="E572" s="10">
        <f>52337.1-1880.2</f>
        <v>50456.9</v>
      </c>
      <c r="F572" s="10">
        <v>0</v>
      </c>
      <c r="G572" s="10">
        <v>0</v>
      </c>
    </row>
    <row r="573" spans="1:7" ht="47.25" outlineLevel="2" x14ac:dyDescent="0.25">
      <c r="A573" s="43" t="s">
        <v>902</v>
      </c>
      <c r="B573" s="9" t="s">
        <v>58</v>
      </c>
      <c r="C573" s="9" t="s">
        <v>733</v>
      </c>
      <c r="D573" s="9"/>
      <c r="E573" s="10">
        <f>E574</f>
        <v>388.2</v>
      </c>
      <c r="F573" s="10">
        <f t="shared" ref="F573:G573" si="191">F574</f>
        <v>0</v>
      </c>
      <c r="G573" s="10">
        <f t="shared" si="191"/>
        <v>0</v>
      </c>
    </row>
    <row r="574" spans="1:7" ht="31.5" outlineLevel="2" x14ac:dyDescent="0.25">
      <c r="A574" s="43" t="s">
        <v>76</v>
      </c>
      <c r="B574" s="9" t="s">
        <v>58</v>
      </c>
      <c r="C574" s="9" t="s">
        <v>733</v>
      </c>
      <c r="D574" s="9" t="s">
        <v>39</v>
      </c>
      <c r="E574" s="10">
        <f>435.8-47.6</f>
        <v>388.2</v>
      </c>
      <c r="F574" s="10">
        <v>0</v>
      </c>
      <c r="G574" s="10">
        <v>0</v>
      </c>
    </row>
    <row r="575" spans="1:7" ht="31.5" outlineLevel="2" x14ac:dyDescent="0.25">
      <c r="A575" s="43" t="s">
        <v>763</v>
      </c>
      <c r="B575" s="9" t="s">
        <v>58</v>
      </c>
      <c r="C575" s="9" t="s">
        <v>764</v>
      </c>
      <c r="D575" s="9"/>
      <c r="E575" s="10">
        <f>+E576</f>
        <v>4666.8</v>
      </c>
      <c r="F575" s="10">
        <f t="shared" ref="F575:G575" si="192">+F576</f>
        <v>0</v>
      </c>
      <c r="G575" s="10">
        <f t="shared" si="192"/>
        <v>0</v>
      </c>
    </row>
    <row r="576" spans="1:7" ht="31.5" outlineLevel="2" x14ac:dyDescent="0.25">
      <c r="A576" s="43" t="s">
        <v>76</v>
      </c>
      <c r="B576" s="9" t="s">
        <v>58</v>
      </c>
      <c r="C576" s="9" t="s">
        <v>764</v>
      </c>
      <c r="D576" s="9" t="s">
        <v>39</v>
      </c>
      <c r="E576" s="10">
        <v>4666.8</v>
      </c>
      <c r="F576" s="10">
        <v>0</v>
      </c>
      <c r="G576" s="10">
        <v>0</v>
      </c>
    </row>
    <row r="577" spans="1:7" ht="31.5" outlineLevel="2" x14ac:dyDescent="0.25">
      <c r="A577" s="46" t="s">
        <v>773</v>
      </c>
      <c r="B577" s="9" t="s">
        <v>58</v>
      </c>
      <c r="C577" s="9" t="s">
        <v>774</v>
      </c>
      <c r="D577" s="9"/>
      <c r="E577" s="10">
        <f>+E578</f>
        <v>3259.3</v>
      </c>
      <c r="F577" s="10">
        <f t="shared" ref="F577" si="193">+F578</f>
        <v>18469.5</v>
      </c>
      <c r="G577" s="10">
        <f t="shared" ref="G577" si="194">+G578</f>
        <v>0</v>
      </c>
    </row>
    <row r="578" spans="1:7" ht="31.5" outlineLevel="2" x14ac:dyDescent="0.25">
      <c r="A578" s="46" t="s">
        <v>76</v>
      </c>
      <c r="B578" s="9" t="s">
        <v>58</v>
      </c>
      <c r="C578" s="9" t="s">
        <v>774</v>
      </c>
      <c r="D578" s="9" t="s">
        <v>39</v>
      </c>
      <c r="E578" s="10">
        <v>3259.3</v>
      </c>
      <c r="F578" s="10">
        <f>18469.6-0.1</f>
        <v>18469.5</v>
      </c>
      <c r="G578" s="10">
        <v>0</v>
      </c>
    </row>
    <row r="579" spans="1:7" ht="63" outlineLevel="2" x14ac:dyDescent="0.25">
      <c r="A579" s="61" t="s">
        <v>869</v>
      </c>
      <c r="B579" s="33" t="s">
        <v>58</v>
      </c>
      <c r="C579" s="9" t="s">
        <v>871</v>
      </c>
      <c r="D579" s="33"/>
      <c r="E579" s="10">
        <f>+E580</f>
        <v>100</v>
      </c>
      <c r="F579" s="10">
        <f t="shared" ref="F579:G579" si="195">+F580</f>
        <v>0</v>
      </c>
      <c r="G579" s="10">
        <f t="shared" si="195"/>
        <v>0</v>
      </c>
    </row>
    <row r="580" spans="1:7" ht="31.5" outlineLevel="2" x14ac:dyDescent="0.25">
      <c r="A580" s="61" t="s">
        <v>76</v>
      </c>
      <c r="B580" s="33" t="s">
        <v>58</v>
      </c>
      <c r="C580" s="9" t="s">
        <v>871</v>
      </c>
      <c r="D580" s="33" t="s">
        <v>39</v>
      </c>
      <c r="E580" s="10">
        <v>100</v>
      </c>
      <c r="F580" s="10">
        <v>0</v>
      </c>
      <c r="G580" s="10">
        <v>0</v>
      </c>
    </row>
    <row r="581" spans="1:7" ht="126" outlineLevel="2" x14ac:dyDescent="0.25">
      <c r="A581" s="61" t="s">
        <v>870</v>
      </c>
      <c r="B581" s="33" t="s">
        <v>58</v>
      </c>
      <c r="C581" s="9" t="s">
        <v>872</v>
      </c>
      <c r="D581" s="33"/>
      <c r="E581" s="10">
        <f>+E582</f>
        <v>250</v>
      </c>
      <c r="F581" s="10">
        <f t="shared" ref="F581:G581" si="196">+F582</f>
        <v>0</v>
      </c>
      <c r="G581" s="10">
        <f t="shared" si="196"/>
        <v>0</v>
      </c>
    </row>
    <row r="582" spans="1:7" ht="31.5" outlineLevel="2" x14ac:dyDescent="0.25">
      <c r="A582" s="61" t="s">
        <v>76</v>
      </c>
      <c r="B582" s="33" t="s">
        <v>58</v>
      </c>
      <c r="C582" s="9" t="s">
        <v>872</v>
      </c>
      <c r="D582" s="33" t="s">
        <v>39</v>
      </c>
      <c r="E582" s="10">
        <v>250</v>
      </c>
      <c r="F582" s="10">
        <v>0</v>
      </c>
      <c r="G582" s="10">
        <v>0</v>
      </c>
    </row>
    <row r="583" spans="1:7" ht="47.25" outlineLevel="2" x14ac:dyDescent="0.25">
      <c r="A583" s="43" t="s">
        <v>738</v>
      </c>
      <c r="B583" s="9" t="s">
        <v>58</v>
      </c>
      <c r="C583" s="9" t="s">
        <v>739</v>
      </c>
      <c r="D583" s="9"/>
      <c r="E583" s="10">
        <f>E584</f>
        <v>2572.1</v>
      </c>
      <c r="F583" s="10">
        <f t="shared" ref="F583:G583" si="197">F584</f>
        <v>0</v>
      </c>
      <c r="G583" s="10">
        <f t="shared" si="197"/>
        <v>0</v>
      </c>
    </row>
    <row r="584" spans="1:7" ht="31.5" outlineLevel="2" x14ac:dyDescent="0.25">
      <c r="A584" s="43" t="s">
        <v>76</v>
      </c>
      <c r="B584" s="9" t="s">
        <v>58</v>
      </c>
      <c r="C584" s="9" t="s">
        <v>739</v>
      </c>
      <c r="D584" s="9" t="s">
        <v>39</v>
      </c>
      <c r="E584" s="10">
        <v>2572.1</v>
      </c>
      <c r="F584" s="10">
        <v>0</v>
      </c>
      <c r="G584" s="10">
        <v>0</v>
      </c>
    </row>
    <row r="585" spans="1:7" ht="31.5" outlineLevel="2" x14ac:dyDescent="0.25">
      <c r="A585" s="46" t="s">
        <v>815</v>
      </c>
      <c r="B585" s="9" t="s">
        <v>58</v>
      </c>
      <c r="C585" s="9" t="s">
        <v>816</v>
      </c>
      <c r="D585" s="9"/>
      <c r="E585" s="10">
        <f>+E586</f>
        <v>600</v>
      </c>
      <c r="F585" s="10">
        <f t="shared" ref="F585:G585" si="198">+F586</f>
        <v>0</v>
      </c>
      <c r="G585" s="10">
        <f t="shared" si="198"/>
        <v>0</v>
      </c>
    </row>
    <row r="586" spans="1:7" ht="31.5" outlineLevel="2" x14ac:dyDescent="0.25">
      <c r="A586" s="46" t="s">
        <v>76</v>
      </c>
      <c r="B586" s="9" t="s">
        <v>58</v>
      </c>
      <c r="C586" s="9" t="s">
        <v>816</v>
      </c>
      <c r="D586" s="9" t="s">
        <v>39</v>
      </c>
      <c r="E586" s="10">
        <v>600</v>
      </c>
      <c r="F586" s="10">
        <v>0</v>
      </c>
      <c r="G586" s="10">
        <v>0</v>
      </c>
    </row>
    <row r="587" spans="1:7" ht="94.5" outlineLevel="2" x14ac:dyDescent="0.25">
      <c r="A587" s="11" t="s">
        <v>689</v>
      </c>
      <c r="B587" s="9" t="s">
        <v>58</v>
      </c>
      <c r="C587" s="9" t="s">
        <v>711</v>
      </c>
      <c r="D587" s="9"/>
      <c r="E587" s="10">
        <f t="shared" ref="E587" si="199">E588</f>
        <v>9000</v>
      </c>
      <c r="F587" s="10">
        <f t="shared" si="190"/>
        <v>0</v>
      </c>
      <c r="G587" s="10">
        <f t="shared" si="190"/>
        <v>0</v>
      </c>
    </row>
    <row r="588" spans="1:7" ht="47.25" outlineLevel="2" x14ac:dyDescent="0.25">
      <c r="A588" s="42" t="s">
        <v>94</v>
      </c>
      <c r="B588" s="9" t="s">
        <v>58</v>
      </c>
      <c r="C588" s="9" t="s">
        <v>711</v>
      </c>
      <c r="D588" s="9" t="s">
        <v>95</v>
      </c>
      <c r="E588" s="10">
        <v>9000</v>
      </c>
      <c r="F588" s="10">
        <v>0</v>
      </c>
      <c r="G588" s="10">
        <v>0</v>
      </c>
    </row>
    <row r="589" spans="1:7" ht="94.5" outlineLevel="2" x14ac:dyDescent="0.25">
      <c r="A589" s="46" t="s">
        <v>530</v>
      </c>
      <c r="B589" s="9" t="s">
        <v>58</v>
      </c>
      <c r="C589" s="9" t="s">
        <v>532</v>
      </c>
      <c r="D589" s="9"/>
      <c r="E589" s="10">
        <f>E590</f>
        <v>16763.400000000001</v>
      </c>
      <c r="F589" s="10">
        <f t="shared" ref="F589:G589" si="200">F590</f>
        <v>8524.1999999999989</v>
      </c>
      <c r="G589" s="10">
        <f t="shared" si="200"/>
        <v>0</v>
      </c>
    </row>
    <row r="590" spans="1:7" ht="31.5" outlineLevel="2" x14ac:dyDescent="0.25">
      <c r="A590" s="46" t="s">
        <v>76</v>
      </c>
      <c r="B590" s="9" t="s">
        <v>58</v>
      </c>
      <c r="C590" s="9" t="s">
        <v>532</v>
      </c>
      <c r="D590" s="9" t="s">
        <v>39</v>
      </c>
      <c r="E590" s="10">
        <f>16116.7+640.2+6.5</f>
        <v>16763.400000000001</v>
      </c>
      <c r="F590" s="10">
        <v>8524.1999999999989</v>
      </c>
      <c r="G590" s="10">
        <v>0</v>
      </c>
    </row>
    <row r="591" spans="1:7" ht="31.5" outlineLevel="2" x14ac:dyDescent="0.25">
      <c r="A591" s="46" t="s">
        <v>531</v>
      </c>
      <c r="B591" s="9" t="s">
        <v>58</v>
      </c>
      <c r="C591" s="9" t="s">
        <v>533</v>
      </c>
      <c r="D591" s="9"/>
      <c r="E591" s="10">
        <f>E592</f>
        <v>174854.7</v>
      </c>
      <c r="F591" s="10">
        <f t="shared" ref="F591:G591" si="201">F592</f>
        <v>163855.59999999998</v>
      </c>
      <c r="G591" s="10">
        <f t="shared" si="201"/>
        <v>112766</v>
      </c>
    </row>
    <row r="592" spans="1:7" ht="31.5" outlineLevel="2" x14ac:dyDescent="0.25">
      <c r="A592" s="46" t="s">
        <v>76</v>
      </c>
      <c r="B592" s="9" t="s">
        <v>58</v>
      </c>
      <c r="C592" s="9" t="s">
        <v>533</v>
      </c>
      <c r="D592" s="9" t="s">
        <v>39</v>
      </c>
      <c r="E592" s="10">
        <v>174854.7</v>
      </c>
      <c r="F592" s="10">
        <f>162240.8+1614.9-0.1</f>
        <v>163855.59999999998</v>
      </c>
      <c r="G592" s="10">
        <v>112766</v>
      </c>
    </row>
    <row r="593" spans="1:7" outlineLevel="2" x14ac:dyDescent="0.25">
      <c r="A593" s="47" t="s">
        <v>144</v>
      </c>
      <c r="B593" s="16" t="s">
        <v>58</v>
      </c>
      <c r="C593" s="16" t="s">
        <v>404</v>
      </c>
      <c r="D593" s="13"/>
      <c r="E593" s="10">
        <f>E594</f>
        <v>794716.10000000009</v>
      </c>
      <c r="F593" s="10">
        <f t="shared" ref="F593:G593" si="202">F594</f>
        <v>514161.79999999993</v>
      </c>
      <c r="G593" s="10">
        <f t="shared" si="202"/>
        <v>524715.4</v>
      </c>
    </row>
    <row r="594" spans="1:7" ht="47.25" outlineLevel="2" x14ac:dyDescent="0.25">
      <c r="A594" s="47" t="s">
        <v>405</v>
      </c>
      <c r="B594" s="16" t="s">
        <v>58</v>
      </c>
      <c r="C594" s="16" t="s">
        <v>406</v>
      </c>
      <c r="D594" s="13"/>
      <c r="E594" s="10">
        <f>E595+E599+E597+E602+E604+E606+E608+E610+E612+E614+E616+E623+E625+E633+E618+E627+E620+E631+E629</f>
        <v>794716.10000000009</v>
      </c>
      <c r="F594" s="10">
        <f t="shared" ref="F594:G594" si="203">F595+F599+F597+F602+F604+F606+F608+F610+F612+F614+F616+F623+F625+F633+F618+F627+F620+F631</f>
        <v>514161.79999999993</v>
      </c>
      <c r="G594" s="10">
        <f t="shared" si="203"/>
        <v>524715.4</v>
      </c>
    </row>
    <row r="595" spans="1:7" ht="31.5" outlineLevel="2" x14ac:dyDescent="0.25">
      <c r="A595" s="46" t="s">
        <v>407</v>
      </c>
      <c r="B595" s="16" t="s">
        <v>58</v>
      </c>
      <c r="C595" s="12" t="s">
        <v>408</v>
      </c>
      <c r="D595" s="13"/>
      <c r="E595" s="10">
        <f>E596</f>
        <v>20010.099999999999</v>
      </c>
      <c r="F595" s="10">
        <f t="shared" ref="F595:G595" si="204">F596</f>
        <v>2010.1</v>
      </c>
      <c r="G595" s="10">
        <f t="shared" si="204"/>
        <v>2010.1</v>
      </c>
    </row>
    <row r="596" spans="1:7" ht="31.5" outlineLevel="2" x14ac:dyDescent="0.25">
      <c r="A596" s="11" t="s">
        <v>76</v>
      </c>
      <c r="B596" s="16" t="s">
        <v>58</v>
      </c>
      <c r="C596" s="12" t="s">
        <v>408</v>
      </c>
      <c r="D596" s="13">
        <v>200</v>
      </c>
      <c r="E596" s="10">
        <v>20010.099999999999</v>
      </c>
      <c r="F596" s="10">
        <v>2010.1</v>
      </c>
      <c r="G596" s="10">
        <v>2010.1</v>
      </c>
    </row>
    <row r="597" spans="1:7" ht="36" customHeight="1" outlineLevel="2" x14ac:dyDescent="0.25">
      <c r="A597" s="11" t="s">
        <v>507</v>
      </c>
      <c r="B597" s="16" t="s">
        <v>58</v>
      </c>
      <c r="C597" s="12" t="s">
        <v>409</v>
      </c>
      <c r="D597" s="13"/>
      <c r="E597" s="10">
        <f>E598</f>
        <v>24884.800000000003</v>
      </c>
      <c r="F597" s="10">
        <f t="shared" ref="F597:G597" si="205">F598</f>
        <v>0</v>
      </c>
      <c r="G597" s="10">
        <f t="shared" si="205"/>
        <v>0</v>
      </c>
    </row>
    <row r="598" spans="1:7" ht="31.5" outlineLevel="2" x14ac:dyDescent="0.25">
      <c r="A598" s="11" t="s">
        <v>76</v>
      </c>
      <c r="B598" s="12" t="s">
        <v>58</v>
      </c>
      <c r="C598" s="12" t="s">
        <v>409</v>
      </c>
      <c r="D598" s="13">
        <v>200</v>
      </c>
      <c r="E598" s="10">
        <v>24884.800000000003</v>
      </c>
      <c r="F598" s="10">
        <v>0</v>
      </c>
      <c r="G598" s="10">
        <v>0</v>
      </c>
    </row>
    <row r="599" spans="1:7" ht="31.5" outlineLevel="2" x14ac:dyDescent="0.25">
      <c r="A599" s="11" t="s">
        <v>410</v>
      </c>
      <c r="B599" s="12" t="s">
        <v>58</v>
      </c>
      <c r="C599" s="9" t="s">
        <v>411</v>
      </c>
      <c r="D599" s="5"/>
      <c r="E599" s="10">
        <f>E601+E600</f>
        <v>118187.20000000001</v>
      </c>
      <c r="F599" s="10">
        <f t="shared" ref="F599:G599" si="206">F601+F600</f>
        <v>21988</v>
      </c>
      <c r="G599" s="10">
        <f t="shared" si="206"/>
        <v>21988</v>
      </c>
    </row>
    <row r="600" spans="1:7" ht="31.5" outlineLevel="2" x14ac:dyDescent="0.25">
      <c r="A600" s="46" t="s">
        <v>76</v>
      </c>
      <c r="B600" s="9" t="s">
        <v>58</v>
      </c>
      <c r="C600" s="9" t="s">
        <v>411</v>
      </c>
      <c r="D600" s="9" t="s">
        <v>39</v>
      </c>
      <c r="E600" s="10">
        <f>46770.1-5000</f>
        <v>41770.1</v>
      </c>
      <c r="F600" s="10">
        <v>0</v>
      </c>
      <c r="G600" s="10">
        <v>0</v>
      </c>
    </row>
    <row r="601" spans="1:7" ht="47.25" outlineLevel="2" x14ac:dyDescent="0.25">
      <c r="A601" s="11" t="s">
        <v>94</v>
      </c>
      <c r="B601" s="12" t="s">
        <v>58</v>
      </c>
      <c r="C601" s="9" t="s">
        <v>411</v>
      </c>
      <c r="D601" s="5">
        <v>600</v>
      </c>
      <c r="E601" s="10">
        <f>71417.1+5000</f>
        <v>76417.100000000006</v>
      </c>
      <c r="F601" s="10">
        <v>21988</v>
      </c>
      <c r="G601" s="10">
        <v>21988</v>
      </c>
    </row>
    <row r="602" spans="1:7" ht="31.5" outlineLevel="2" x14ac:dyDescent="0.25">
      <c r="A602" s="68" t="s">
        <v>412</v>
      </c>
      <c r="B602" s="12" t="s">
        <v>58</v>
      </c>
      <c r="C602" s="12" t="s">
        <v>413</v>
      </c>
      <c r="D602" s="13"/>
      <c r="E602" s="10">
        <f>E603</f>
        <v>404.5</v>
      </c>
      <c r="F602" s="10">
        <f t="shared" ref="F602:G602" si="207">F603</f>
        <v>350</v>
      </c>
      <c r="G602" s="10">
        <f t="shared" si="207"/>
        <v>350</v>
      </c>
    </row>
    <row r="603" spans="1:7" ht="31.5" outlineLevel="2" x14ac:dyDescent="0.25">
      <c r="A603" s="11" t="s">
        <v>76</v>
      </c>
      <c r="B603" s="12" t="s">
        <v>58</v>
      </c>
      <c r="C603" s="12" t="s">
        <v>413</v>
      </c>
      <c r="D603" s="13">
        <v>200</v>
      </c>
      <c r="E603" s="10">
        <f>332.5+72</f>
        <v>404.5</v>
      </c>
      <c r="F603" s="10">
        <v>350</v>
      </c>
      <c r="G603" s="10">
        <v>350</v>
      </c>
    </row>
    <row r="604" spans="1:7" ht="31.5" outlineLevel="2" x14ac:dyDescent="0.25">
      <c r="A604" s="47" t="s">
        <v>414</v>
      </c>
      <c r="B604" s="12" t="s">
        <v>58</v>
      </c>
      <c r="C604" s="12" t="s">
        <v>415</v>
      </c>
      <c r="D604" s="13"/>
      <c r="E604" s="10">
        <f>E605</f>
        <v>249</v>
      </c>
      <c r="F604" s="10">
        <f t="shared" ref="F604:G604" si="208">F605</f>
        <v>312</v>
      </c>
      <c r="G604" s="10">
        <f t="shared" si="208"/>
        <v>324.5</v>
      </c>
    </row>
    <row r="605" spans="1:7" ht="31.5" outlineLevel="2" x14ac:dyDescent="0.25">
      <c r="A605" s="11" t="s">
        <v>76</v>
      </c>
      <c r="B605" s="12" t="s">
        <v>58</v>
      </c>
      <c r="C605" s="12" t="s">
        <v>415</v>
      </c>
      <c r="D605" s="13">
        <v>200</v>
      </c>
      <c r="E605" s="10">
        <v>249</v>
      </c>
      <c r="F605" s="10">
        <v>312</v>
      </c>
      <c r="G605" s="10">
        <v>324.5</v>
      </c>
    </row>
    <row r="606" spans="1:7" ht="47.25" outlineLevel="2" x14ac:dyDescent="0.25">
      <c r="A606" s="47" t="s">
        <v>416</v>
      </c>
      <c r="B606" s="12" t="s">
        <v>58</v>
      </c>
      <c r="C606" s="12" t="s">
        <v>417</v>
      </c>
      <c r="D606" s="13"/>
      <c r="E606" s="10">
        <f>E607</f>
        <v>111677</v>
      </c>
      <c r="F606" s="10">
        <f t="shared" ref="F606:G606" si="209">F607</f>
        <v>31200</v>
      </c>
      <c r="G606" s="10">
        <f t="shared" si="209"/>
        <v>32448</v>
      </c>
    </row>
    <row r="607" spans="1:7" ht="31.5" outlineLevel="2" x14ac:dyDescent="0.25">
      <c r="A607" s="11" t="s">
        <v>76</v>
      </c>
      <c r="B607" s="12" t="s">
        <v>58</v>
      </c>
      <c r="C607" s="12" t="s">
        <v>417</v>
      </c>
      <c r="D607" s="13">
        <v>200</v>
      </c>
      <c r="E607" s="10">
        <f>113608.7-1931.8+0.1</f>
        <v>111677</v>
      </c>
      <c r="F607" s="10">
        <v>31200</v>
      </c>
      <c r="G607" s="10">
        <v>32448</v>
      </c>
    </row>
    <row r="608" spans="1:7" ht="47.25" outlineLevel="2" x14ac:dyDescent="0.25">
      <c r="A608" s="47" t="s">
        <v>418</v>
      </c>
      <c r="B608" s="12" t="s">
        <v>58</v>
      </c>
      <c r="C608" s="12" t="s">
        <v>419</v>
      </c>
      <c r="D608" s="13"/>
      <c r="E608" s="10">
        <f>E609</f>
        <v>1077.6000000000001</v>
      </c>
      <c r="F608" s="10">
        <f t="shared" ref="F608:G608" si="210">F609</f>
        <v>187.2</v>
      </c>
      <c r="G608" s="10">
        <f t="shared" si="210"/>
        <v>194.7</v>
      </c>
    </row>
    <row r="609" spans="1:7" ht="31.5" outlineLevel="2" x14ac:dyDescent="0.25">
      <c r="A609" s="11" t="s">
        <v>76</v>
      </c>
      <c r="B609" s="12" t="s">
        <v>58</v>
      </c>
      <c r="C609" s="12" t="s">
        <v>419</v>
      </c>
      <c r="D609" s="13">
        <v>200</v>
      </c>
      <c r="E609" s="10">
        <f>1077.7-0.1</f>
        <v>1077.6000000000001</v>
      </c>
      <c r="F609" s="10">
        <v>187.2</v>
      </c>
      <c r="G609" s="10">
        <v>194.7</v>
      </c>
    </row>
    <row r="610" spans="1:7" ht="47.25" outlineLevel="2" x14ac:dyDescent="0.25">
      <c r="A610" s="47" t="s">
        <v>420</v>
      </c>
      <c r="B610" s="12" t="s">
        <v>58</v>
      </c>
      <c r="C610" s="12" t="s">
        <v>421</v>
      </c>
      <c r="D610" s="13"/>
      <c r="E610" s="10">
        <f>E611</f>
        <v>3000</v>
      </c>
      <c r="F610" s="10">
        <f t="shared" ref="F610:G610" si="211">F611</f>
        <v>3000</v>
      </c>
      <c r="G610" s="10">
        <f t="shared" si="211"/>
        <v>3000</v>
      </c>
    </row>
    <row r="611" spans="1:7" ht="31.5" outlineLevel="2" x14ac:dyDescent="0.25">
      <c r="A611" s="11" t="s">
        <v>76</v>
      </c>
      <c r="B611" s="12" t="s">
        <v>58</v>
      </c>
      <c r="C611" s="12" t="s">
        <v>421</v>
      </c>
      <c r="D611" s="13">
        <v>200</v>
      </c>
      <c r="E611" s="10">
        <v>3000</v>
      </c>
      <c r="F611" s="10">
        <v>3000</v>
      </c>
      <c r="G611" s="10">
        <v>3000</v>
      </c>
    </row>
    <row r="612" spans="1:7" ht="31.5" outlineLevel="2" x14ac:dyDescent="0.25">
      <c r="A612" s="47" t="s">
        <v>422</v>
      </c>
      <c r="B612" s="12" t="s">
        <v>58</v>
      </c>
      <c r="C612" s="12" t="s">
        <v>423</v>
      </c>
      <c r="D612" s="13"/>
      <c r="E612" s="10">
        <f>E613</f>
        <v>83.8</v>
      </c>
      <c r="F612" s="10">
        <f t="shared" ref="F612:G612" si="212">F613</f>
        <v>0</v>
      </c>
      <c r="G612" s="10">
        <f t="shared" si="212"/>
        <v>0</v>
      </c>
    </row>
    <row r="613" spans="1:7" ht="31.5" outlineLevel="2" x14ac:dyDescent="0.25">
      <c r="A613" s="11" t="s">
        <v>76</v>
      </c>
      <c r="B613" s="12" t="s">
        <v>58</v>
      </c>
      <c r="C613" s="12" t="s">
        <v>423</v>
      </c>
      <c r="D613" s="13">
        <v>200</v>
      </c>
      <c r="E613" s="10">
        <v>83.8</v>
      </c>
      <c r="F613" s="10">
        <v>0</v>
      </c>
      <c r="G613" s="10">
        <v>0</v>
      </c>
    </row>
    <row r="614" spans="1:7" ht="31.5" outlineLevel="2" x14ac:dyDescent="0.25">
      <c r="A614" s="47" t="s">
        <v>424</v>
      </c>
      <c r="B614" s="12" t="s">
        <v>58</v>
      </c>
      <c r="C614" s="12" t="s">
        <v>425</v>
      </c>
      <c r="D614" s="13"/>
      <c r="E614" s="10">
        <f>E615</f>
        <v>95.2</v>
      </c>
      <c r="F614" s="10">
        <f t="shared" ref="F614:G614" si="213">F615</f>
        <v>110</v>
      </c>
      <c r="G614" s="10">
        <f t="shared" si="213"/>
        <v>110</v>
      </c>
    </row>
    <row r="615" spans="1:7" ht="31.5" outlineLevel="2" x14ac:dyDescent="0.25">
      <c r="A615" s="11" t="s">
        <v>76</v>
      </c>
      <c r="B615" s="12" t="s">
        <v>58</v>
      </c>
      <c r="C615" s="12" t="s">
        <v>425</v>
      </c>
      <c r="D615" s="13">
        <v>200</v>
      </c>
      <c r="E615" s="10">
        <v>95.2</v>
      </c>
      <c r="F615" s="10">
        <v>110</v>
      </c>
      <c r="G615" s="10">
        <v>110</v>
      </c>
    </row>
    <row r="616" spans="1:7" ht="31.5" outlineLevel="2" x14ac:dyDescent="0.25">
      <c r="A616" s="47" t="s">
        <v>519</v>
      </c>
      <c r="B616" s="12" t="s">
        <v>58</v>
      </c>
      <c r="C616" s="12" t="s">
        <v>426</v>
      </c>
      <c r="D616" s="13"/>
      <c r="E616" s="10">
        <f>E617</f>
        <v>370</v>
      </c>
      <c r="F616" s="10">
        <f t="shared" ref="F616:G618" si="214">F617</f>
        <v>0</v>
      </c>
      <c r="G616" s="10">
        <f t="shared" si="214"/>
        <v>0</v>
      </c>
    </row>
    <row r="617" spans="1:7" ht="31.5" outlineLevel="2" x14ac:dyDescent="0.25">
      <c r="A617" s="11" t="s">
        <v>76</v>
      </c>
      <c r="B617" s="12" t="s">
        <v>58</v>
      </c>
      <c r="C617" s="12" t="s">
        <v>426</v>
      </c>
      <c r="D617" s="13">
        <v>200</v>
      </c>
      <c r="E617" s="10">
        <v>370</v>
      </c>
      <c r="F617" s="10">
        <v>0</v>
      </c>
      <c r="G617" s="10">
        <v>0</v>
      </c>
    </row>
    <row r="618" spans="1:7" ht="31.5" outlineLevel="2" x14ac:dyDescent="0.25">
      <c r="A618" s="11" t="s">
        <v>704</v>
      </c>
      <c r="B618" s="9" t="s">
        <v>58</v>
      </c>
      <c r="C618" s="9" t="s">
        <v>705</v>
      </c>
      <c r="D618" s="9"/>
      <c r="E618" s="10">
        <f t="shared" ref="E618" si="215">E619</f>
        <v>1218.8000000000002</v>
      </c>
      <c r="F618" s="10">
        <f t="shared" si="214"/>
        <v>0</v>
      </c>
      <c r="G618" s="10">
        <f t="shared" si="214"/>
        <v>0</v>
      </c>
    </row>
    <row r="619" spans="1:7" ht="31.5" outlineLevel="2" x14ac:dyDescent="0.25">
      <c r="A619" s="11" t="s">
        <v>76</v>
      </c>
      <c r="B619" s="9" t="s">
        <v>58</v>
      </c>
      <c r="C619" s="9" t="s">
        <v>705</v>
      </c>
      <c r="D619" s="9" t="s">
        <v>39</v>
      </c>
      <c r="E619" s="10">
        <v>1218.8000000000002</v>
      </c>
      <c r="F619" s="10">
        <v>0</v>
      </c>
      <c r="G619" s="10">
        <v>0</v>
      </c>
    </row>
    <row r="620" spans="1:7" ht="31.5" outlineLevel="2" x14ac:dyDescent="0.25">
      <c r="A620" s="11" t="s">
        <v>734</v>
      </c>
      <c r="B620" s="9" t="s">
        <v>58</v>
      </c>
      <c r="C620" s="9" t="s">
        <v>735</v>
      </c>
      <c r="D620" s="9"/>
      <c r="E620" s="10">
        <f>E621+E622</f>
        <v>1266.5</v>
      </c>
      <c r="F620" s="10">
        <f t="shared" ref="F620:G620" si="216">F621</f>
        <v>0</v>
      </c>
      <c r="G620" s="10">
        <f t="shared" si="216"/>
        <v>0</v>
      </c>
    </row>
    <row r="621" spans="1:7" ht="31.5" outlineLevel="2" x14ac:dyDescent="0.25">
      <c r="A621" s="42" t="s">
        <v>20</v>
      </c>
      <c r="B621" s="9" t="s">
        <v>58</v>
      </c>
      <c r="C621" s="9" t="s">
        <v>735</v>
      </c>
      <c r="D621" s="9" t="s">
        <v>551</v>
      </c>
      <c r="E621" s="10">
        <v>1020</v>
      </c>
      <c r="F621" s="10">
        <v>0</v>
      </c>
      <c r="G621" s="10">
        <v>0</v>
      </c>
    </row>
    <row r="622" spans="1:7" ht="47.25" outlineLevel="2" x14ac:dyDescent="0.25">
      <c r="A622" s="11" t="s">
        <v>94</v>
      </c>
      <c r="B622" s="33" t="s">
        <v>58</v>
      </c>
      <c r="C622" s="9" t="s">
        <v>735</v>
      </c>
      <c r="D622" s="33" t="s">
        <v>95</v>
      </c>
      <c r="E622" s="10">
        <v>246.5</v>
      </c>
      <c r="F622" s="10">
        <v>0</v>
      </c>
      <c r="G622" s="10">
        <v>0</v>
      </c>
    </row>
    <row r="623" spans="1:7" ht="63" outlineLevel="2" x14ac:dyDescent="0.25">
      <c r="A623" s="38" t="s">
        <v>427</v>
      </c>
      <c r="B623" s="12" t="s">
        <v>58</v>
      </c>
      <c r="C623" s="12" t="s">
        <v>428</v>
      </c>
      <c r="D623" s="13"/>
      <c r="E623" s="10">
        <f>E624</f>
        <v>214224.5</v>
      </c>
      <c r="F623" s="10">
        <f t="shared" ref="F623:G623" si="217">F624</f>
        <v>180401.3</v>
      </c>
      <c r="G623" s="10">
        <f t="shared" si="217"/>
        <v>180708.8</v>
      </c>
    </row>
    <row r="624" spans="1:7" ht="47.25" outlineLevel="2" x14ac:dyDescent="0.25">
      <c r="A624" s="11" t="s">
        <v>94</v>
      </c>
      <c r="B624" s="12" t="s">
        <v>58</v>
      </c>
      <c r="C624" s="12" t="s">
        <v>428</v>
      </c>
      <c r="D624" s="13">
        <v>600</v>
      </c>
      <c r="E624" s="10">
        <f>207015.4+209.1+7000</f>
        <v>214224.5</v>
      </c>
      <c r="F624" s="10">
        <v>180401.3</v>
      </c>
      <c r="G624" s="10">
        <v>180708.8</v>
      </c>
    </row>
    <row r="625" spans="1:7" outlineLevel="2" x14ac:dyDescent="0.25">
      <c r="A625" s="11" t="s">
        <v>429</v>
      </c>
      <c r="B625" s="12" t="s">
        <v>58</v>
      </c>
      <c r="C625" s="12" t="s">
        <v>430</v>
      </c>
      <c r="D625" s="13"/>
      <c r="E625" s="10">
        <f>E626</f>
        <v>9877.6</v>
      </c>
      <c r="F625" s="10">
        <f t="shared" ref="F625:G625" si="218">F626</f>
        <v>5367.9</v>
      </c>
      <c r="G625" s="10">
        <f t="shared" si="218"/>
        <v>5367.9</v>
      </c>
    </row>
    <row r="626" spans="1:7" ht="47.25" outlineLevel="2" x14ac:dyDescent="0.25">
      <c r="A626" s="11" t="s">
        <v>94</v>
      </c>
      <c r="B626" s="12" t="s">
        <v>58</v>
      </c>
      <c r="C626" s="12" t="s">
        <v>430</v>
      </c>
      <c r="D626" s="13">
        <v>600</v>
      </c>
      <c r="E626" s="10">
        <f>6177.6+3700</f>
        <v>9877.6</v>
      </c>
      <c r="F626" s="10">
        <v>5367.9</v>
      </c>
      <c r="G626" s="10">
        <v>5367.9</v>
      </c>
    </row>
    <row r="627" spans="1:7" ht="63" outlineLevel="2" x14ac:dyDescent="0.25">
      <c r="A627" s="11" t="s">
        <v>708</v>
      </c>
      <c r="B627" s="9" t="s">
        <v>58</v>
      </c>
      <c r="C627" s="9" t="s">
        <v>709</v>
      </c>
      <c r="D627" s="9"/>
      <c r="E627" s="10">
        <f t="shared" ref="E627:G627" si="219">E628</f>
        <v>9796.2999999999993</v>
      </c>
      <c r="F627" s="10">
        <f t="shared" si="219"/>
        <v>0</v>
      </c>
      <c r="G627" s="10">
        <f t="shared" si="219"/>
        <v>0</v>
      </c>
    </row>
    <row r="628" spans="1:7" ht="47.25" outlineLevel="2" x14ac:dyDescent="0.25">
      <c r="A628" s="11" t="s">
        <v>94</v>
      </c>
      <c r="B628" s="9" t="s">
        <v>58</v>
      </c>
      <c r="C628" s="9" t="s">
        <v>709</v>
      </c>
      <c r="D628" s="9" t="s">
        <v>95</v>
      </c>
      <c r="E628" s="10">
        <v>9796.2999999999993</v>
      </c>
      <c r="F628" s="10">
        <v>0</v>
      </c>
      <c r="G628" s="10">
        <v>0</v>
      </c>
    </row>
    <row r="629" spans="1:7" outlineLevel="2" x14ac:dyDescent="0.25">
      <c r="A629" s="11" t="s">
        <v>817</v>
      </c>
      <c r="B629" s="9" t="s">
        <v>58</v>
      </c>
      <c r="C629" s="9" t="s">
        <v>818</v>
      </c>
      <c r="D629" s="9"/>
      <c r="E629" s="10">
        <f>+E630</f>
        <v>3215.1</v>
      </c>
      <c r="F629" s="10">
        <f t="shared" ref="F629:G629" si="220">+F630</f>
        <v>0</v>
      </c>
      <c r="G629" s="10">
        <f t="shared" si="220"/>
        <v>0</v>
      </c>
    </row>
    <row r="630" spans="1:7" ht="31.5" outlineLevel="2" x14ac:dyDescent="0.25">
      <c r="A630" s="11" t="s">
        <v>76</v>
      </c>
      <c r="B630" s="9" t="s">
        <v>58</v>
      </c>
      <c r="C630" s="9" t="s">
        <v>818</v>
      </c>
      <c r="D630" s="9" t="s">
        <v>39</v>
      </c>
      <c r="E630" s="10">
        <f>2165.1+600+450</f>
        <v>3215.1</v>
      </c>
      <c r="F630" s="10">
        <v>0</v>
      </c>
      <c r="G630" s="10">
        <v>0</v>
      </c>
    </row>
    <row r="631" spans="1:7" ht="31.5" outlineLevel="2" x14ac:dyDescent="0.25">
      <c r="A631" s="11" t="s">
        <v>748</v>
      </c>
      <c r="B631" s="9" t="s">
        <v>58</v>
      </c>
      <c r="C631" s="9" t="s">
        <v>749</v>
      </c>
      <c r="D631" s="9"/>
      <c r="E631" s="10">
        <f>E632</f>
        <v>53.8</v>
      </c>
      <c r="F631" s="10">
        <f t="shared" ref="F631:G631" si="221">F632</f>
        <v>0</v>
      </c>
      <c r="G631" s="10">
        <f t="shared" si="221"/>
        <v>0</v>
      </c>
    </row>
    <row r="632" spans="1:7" ht="31.5" outlineLevel="2" x14ac:dyDescent="0.25">
      <c r="A632" s="11" t="s">
        <v>76</v>
      </c>
      <c r="B632" s="9" t="s">
        <v>58</v>
      </c>
      <c r="C632" s="9" t="s">
        <v>749</v>
      </c>
      <c r="D632" s="9" t="s">
        <v>39</v>
      </c>
      <c r="E632" s="10">
        <v>53.8</v>
      </c>
      <c r="F632" s="10">
        <v>0</v>
      </c>
      <c r="G632" s="10">
        <v>0</v>
      </c>
    </row>
    <row r="633" spans="1:7" ht="78.75" outlineLevel="2" x14ac:dyDescent="0.25">
      <c r="A633" s="38" t="s">
        <v>431</v>
      </c>
      <c r="B633" s="12" t="s">
        <v>58</v>
      </c>
      <c r="C633" s="12" t="s">
        <v>432</v>
      </c>
      <c r="D633" s="13"/>
      <c r="E633" s="10">
        <f>E634</f>
        <v>275024.3</v>
      </c>
      <c r="F633" s="10">
        <f>F634</f>
        <v>269235.3</v>
      </c>
      <c r="G633" s="10">
        <f>G634</f>
        <v>278213.40000000002</v>
      </c>
    </row>
    <row r="634" spans="1:7" outlineLevel="2" x14ac:dyDescent="0.25">
      <c r="A634" s="50" t="s">
        <v>33</v>
      </c>
      <c r="B634" s="12" t="s">
        <v>58</v>
      </c>
      <c r="C634" s="12" t="s">
        <v>432</v>
      </c>
      <c r="D634" s="13">
        <v>800</v>
      </c>
      <c r="E634" s="10">
        <f>247192.3+9238.7+18593.3</f>
        <v>275024.3</v>
      </c>
      <c r="F634" s="10">
        <v>269235.3</v>
      </c>
      <c r="G634" s="10">
        <v>278213.40000000002</v>
      </c>
    </row>
    <row r="635" spans="1:7" ht="31.5" outlineLevel="1" x14ac:dyDescent="0.25">
      <c r="A635" s="43" t="s">
        <v>88</v>
      </c>
      <c r="B635" s="9" t="s">
        <v>89</v>
      </c>
      <c r="C635" s="9"/>
      <c r="D635" s="5"/>
      <c r="E635" s="10">
        <f>E636+E641+E649</f>
        <v>379829.6</v>
      </c>
      <c r="F635" s="10">
        <f>F636+F641+F649</f>
        <v>207615.9</v>
      </c>
      <c r="G635" s="10">
        <f>G636+G641+G649</f>
        <v>211565</v>
      </c>
    </row>
    <row r="636" spans="1:7" ht="47.25" outlineLevel="2" x14ac:dyDescent="0.25">
      <c r="A636" s="46" t="s">
        <v>59</v>
      </c>
      <c r="B636" s="12" t="s">
        <v>89</v>
      </c>
      <c r="C636" s="12" t="s">
        <v>60</v>
      </c>
      <c r="D636" s="13"/>
      <c r="E636" s="10">
        <f>E637</f>
        <v>1.5</v>
      </c>
      <c r="F636" s="10">
        <f t="shared" ref="F636:G639" si="222">F637</f>
        <v>1.5</v>
      </c>
      <c r="G636" s="10">
        <f t="shared" si="222"/>
        <v>1.5</v>
      </c>
    </row>
    <row r="637" spans="1:7" outlineLevel="2" x14ac:dyDescent="0.25">
      <c r="A637" s="47" t="s">
        <v>144</v>
      </c>
      <c r="B637" s="16" t="s">
        <v>89</v>
      </c>
      <c r="C637" s="16" t="s">
        <v>135</v>
      </c>
      <c r="D637" s="13"/>
      <c r="E637" s="10">
        <f>E638</f>
        <v>1.5</v>
      </c>
      <c r="F637" s="10">
        <f t="shared" si="222"/>
        <v>1.5</v>
      </c>
      <c r="G637" s="10">
        <f t="shared" si="222"/>
        <v>1.5</v>
      </c>
    </row>
    <row r="638" spans="1:7" ht="110.25" outlineLevel="2" x14ac:dyDescent="0.25">
      <c r="A638" s="46" t="s">
        <v>497</v>
      </c>
      <c r="B638" s="12" t="s">
        <v>89</v>
      </c>
      <c r="C638" s="12" t="s">
        <v>398</v>
      </c>
      <c r="D638" s="13"/>
      <c r="E638" s="10">
        <f>E639</f>
        <v>1.5</v>
      </c>
      <c r="F638" s="10">
        <f t="shared" si="222"/>
        <v>1.5</v>
      </c>
      <c r="G638" s="10">
        <f t="shared" si="222"/>
        <v>1.5</v>
      </c>
    </row>
    <row r="639" spans="1:7" ht="173.25" outlineLevel="2" x14ac:dyDescent="0.25">
      <c r="A639" s="38" t="s">
        <v>433</v>
      </c>
      <c r="B639" s="12" t="s">
        <v>89</v>
      </c>
      <c r="C639" s="12" t="s">
        <v>434</v>
      </c>
      <c r="D639" s="13"/>
      <c r="E639" s="10">
        <f>E640</f>
        <v>1.5</v>
      </c>
      <c r="F639" s="10">
        <f t="shared" si="222"/>
        <v>1.5</v>
      </c>
      <c r="G639" s="10">
        <f t="shared" si="222"/>
        <v>1.5</v>
      </c>
    </row>
    <row r="640" spans="1:7" ht="31.5" outlineLevel="2" x14ac:dyDescent="0.25">
      <c r="A640" s="50" t="s">
        <v>76</v>
      </c>
      <c r="B640" s="12" t="s">
        <v>89</v>
      </c>
      <c r="C640" s="12" t="s">
        <v>434</v>
      </c>
      <c r="D640" s="13">
        <v>200</v>
      </c>
      <c r="E640" s="10">
        <v>1.5</v>
      </c>
      <c r="F640" s="10">
        <v>1.5</v>
      </c>
      <c r="G640" s="10">
        <v>1.5</v>
      </c>
    </row>
    <row r="641" spans="1:7" ht="78.75" outlineLevel="2" x14ac:dyDescent="0.25">
      <c r="A641" s="48" t="s">
        <v>345</v>
      </c>
      <c r="B641" s="9" t="s">
        <v>89</v>
      </c>
      <c r="C641" s="9" t="s">
        <v>54</v>
      </c>
      <c r="D641" s="5"/>
      <c r="E641" s="10">
        <f>E642</f>
        <v>96626.4</v>
      </c>
      <c r="F641" s="10">
        <f t="shared" ref="F641:G643" si="223">F642</f>
        <v>82051.200000000012</v>
      </c>
      <c r="G641" s="10">
        <f t="shared" si="223"/>
        <v>82051.200000000012</v>
      </c>
    </row>
    <row r="642" spans="1:7" outlineLevel="2" x14ac:dyDescent="0.25">
      <c r="A642" s="47" t="s">
        <v>144</v>
      </c>
      <c r="B642" s="9" t="s">
        <v>89</v>
      </c>
      <c r="C642" s="9" t="s">
        <v>83</v>
      </c>
      <c r="D642" s="5"/>
      <c r="E642" s="10">
        <f>E643</f>
        <v>96626.4</v>
      </c>
      <c r="F642" s="10">
        <f t="shared" si="223"/>
        <v>82051.200000000012</v>
      </c>
      <c r="G642" s="10">
        <f t="shared" si="223"/>
        <v>82051.200000000012</v>
      </c>
    </row>
    <row r="643" spans="1:7" ht="78.75" outlineLevel="2" x14ac:dyDescent="0.25">
      <c r="A643" s="47" t="s">
        <v>435</v>
      </c>
      <c r="B643" s="9" t="s">
        <v>89</v>
      </c>
      <c r="C643" s="9" t="s">
        <v>436</v>
      </c>
      <c r="D643" s="5"/>
      <c r="E643" s="10">
        <f>E644</f>
        <v>96626.4</v>
      </c>
      <c r="F643" s="10">
        <f t="shared" si="223"/>
        <v>82051.200000000012</v>
      </c>
      <c r="G643" s="10">
        <f t="shared" si="223"/>
        <v>82051.200000000012</v>
      </c>
    </row>
    <row r="644" spans="1:7" ht="47.25" outlineLevel="2" x14ac:dyDescent="0.25">
      <c r="A644" s="40" t="s">
        <v>158</v>
      </c>
      <c r="B644" s="9" t="s">
        <v>89</v>
      </c>
      <c r="C644" s="9" t="s">
        <v>437</v>
      </c>
      <c r="D644" s="5"/>
      <c r="E644" s="10">
        <f>SUM(E645:E648)</f>
        <v>96626.4</v>
      </c>
      <c r="F644" s="10">
        <f t="shared" ref="F644:G644" si="224">F645+F646</f>
        <v>82051.200000000012</v>
      </c>
      <c r="G644" s="10">
        <f t="shared" si="224"/>
        <v>82051.200000000012</v>
      </c>
    </row>
    <row r="645" spans="1:7" ht="94.5" outlineLevel="2" x14ac:dyDescent="0.25">
      <c r="A645" s="11" t="s">
        <v>13</v>
      </c>
      <c r="B645" s="9" t="s">
        <v>89</v>
      </c>
      <c r="C645" s="9" t="s">
        <v>437</v>
      </c>
      <c r="D645" s="5">
        <v>100</v>
      </c>
      <c r="E645" s="10">
        <f>90362.8+120-0.1</f>
        <v>90482.7</v>
      </c>
      <c r="F645" s="10">
        <v>80320.600000000006</v>
      </c>
      <c r="G645" s="10">
        <v>80320.600000000006</v>
      </c>
    </row>
    <row r="646" spans="1:7" ht="31.5" outlineLevel="2" x14ac:dyDescent="0.25">
      <c r="A646" s="11" t="s">
        <v>76</v>
      </c>
      <c r="B646" s="9" t="s">
        <v>89</v>
      </c>
      <c r="C646" s="9" t="s">
        <v>437</v>
      </c>
      <c r="D646" s="5">
        <v>200</v>
      </c>
      <c r="E646" s="10">
        <v>2961.9</v>
      </c>
      <c r="F646" s="10">
        <v>1730.6</v>
      </c>
      <c r="G646" s="10">
        <v>1730.6</v>
      </c>
    </row>
    <row r="647" spans="1:7" ht="31.5" outlineLevel="2" x14ac:dyDescent="0.25">
      <c r="A647" s="42" t="s">
        <v>20</v>
      </c>
      <c r="B647" s="9" t="s">
        <v>89</v>
      </c>
      <c r="C647" s="9" t="s">
        <v>437</v>
      </c>
      <c r="D647" s="9" t="s">
        <v>551</v>
      </c>
      <c r="E647" s="10">
        <f>2395.1+564.6</f>
        <v>2959.7</v>
      </c>
      <c r="F647" s="10">
        <v>0</v>
      </c>
      <c r="G647" s="10">
        <v>0</v>
      </c>
    </row>
    <row r="648" spans="1:7" outlineLevel="2" x14ac:dyDescent="0.25">
      <c r="A648" s="50" t="s">
        <v>33</v>
      </c>
      <c r="B648" s="9" t="s">
        <v>89</v>
      </c>
      <c r="C648" s="9" t="s">
        <v>437</v>
      </c>
      <c r="D648" s="9" t="s">
        <v>522</v>
      </c>
      <c r="E648" s="10">
        <v>222.1</v>
      </c>
      <c r="F648" s="10">
        <v>0</v>
      </c>
      <c r="G648" s="10">
        <v>0</v>
      </c>
    </row>
    <row r="649" spans="1:7" ht="78.75" outlineLevel="2" x14ac:dyDescent="0.25">
      <c r="A649" s="47" t="s">
        <v>330</v>
      </c>
      <c r="B649" s="12" t="s">
        <v>89</v>
      </c>
      <c r="C649" s="12" t="s">
        <v>331</v>
      </c>
      <c r="D649" s="13"/>
      <c r="E649" s="10">
        <f>E650</f>
        <v>283201.7</v>
      </c>
      <c r="F649" s="10">
        <f t="shared" ref="F649:G651" si="225">F650</f>
        <v>125563.19999999998</v>
      </c>
      <c r="G649" s="10">
        <f t="shared" si="225"/>
        <v>129512.3</v>
      </c>
    </row>
    <row r="650" spans="1:7" outlineLevel="2" x14ac:dyDescent="0.25">
      <c r="A650" s="47" t="s">
        <v>144</v>
      </c>
      <c r="B650" s="16" t="s">
        <v>89</v>
      </c>
      <c r="C650" s="16" t="s">
        <v>438</v>
      </c>
      <c r="D650" s="13"/>
      <c r="E650" s="10">
        <f>E651</f>
        <v>283201.7</v>
      </c>
      <c r="F650" s="10">
        <f t="shared" si="225"/>
        <v>125563.19999999998</v>
      </c>
      <c r="G650" s="10">
        <f t="shared" si="225"/>
        <v>129512.3</v>
      </c>
    </row>
    <row r="651" spans="1:7" ht="63" outlineLevel="2" x14ac:dyDescent="0.25">
      <c r="A651" s="47" t="s">
        <v>439</v>
      </c>
      <c r="B651" s="12" t="s">
        <v>89</v>
      </c>
      <c r="C651" s="16" t="s">
        <v>440</v>
      </c>
      <c r="D651" s="13"/>
      <c r="E651" s="10">
        <f>E652</f>
        <v>283201.7</v>
      </c>
      <c r="F651" s="10">
        <f t="shared" si="225"/>
        <v>125563.19999999998</v>
      </c>
      <c r="G651" s="10">
        <f t="shared" si="225"/>
        <v>129512.3</v>
      </c>
    </row>
    <row r="652" spans="1:7" ht="47.25" outlineLevel="2" x14ac:dyDescent="0.25">
      <c r="A652" s="52" t="s">
        <v>150</v>
      </c>
      <c r="B652" s="12" t="s">
        <v>89</v>
      </c>
      <c r="C652" s="12" t="s">
        <v>441</v>
      </c>
      <c r="D652" s="13"/>
      <c r="E652" s="10">
        <f>E653+E654+E655</f>
        <v>283201.7</v>
      </c>
      <c r="F652" s="10">
        <f t="shared" ref="F652:G652" si="226">F653+F654+F655</f>
        <v>125563.19999999998</v>
      </c>
      <c r="G652" s="10">
        <f t="shared" si="226"/>
        <v>129512.3</v>
      </c>
    </row>
    <row r="653" spans="1:7" ht="94.5" outlineLevel="2" x14ac:dyDescent="0.25">
      <c r="A653" s="52" t="s">
        <v>75</v>
      </c>
      <c r="B653" s="12" t="s">
        <v>89</v>
      </c>
      <c r="C653" s="12" t="s">
        <v>441</v>
      </c>
      <c r="D653" s="13">
        <v>100</v>
      </c>
      <c r="E653" s="10">
        <f>98447.3+2534</f>
        <v>100981.3</v>
      </c>
      <c r="F653" s="10">
        <v>97651.799999999988</v>
      </c>
      <c r="G653" s="10">
        <v>101557.90000000001</v>
      </c>
    </row>
    <row r="654" spans="1:7" ht="31.5" outlineLevel="2" x14ac:dyDescent="0.25">
      <c r="A654" s="42" t="s">
        <v>76</v>
      </c>
      <c r="B654" s="12" t="s">
        <v>89</v>
      </c>
      <c r="C654" s="12" t="s">
        <v>441</v>
      </c>
      <c r="D654" s="13">
        <v>200</v>
      </c>
      <c r="E654" s="10">
        <v>5833.8</v>
      </c>
      <c r="F654" s="10">
        <v>4273.3999999999996</v>
      </c>
      <c r="G654" s="10">
        <v>4321.3999999999996</v>
      </c>
    </row>
    <row r="655" spans="1:7" outlineLevel="2" x14ac:dyDescent="0.25">
      <c r="A655" s="43" t="s">
        <v>33</v>
      </c>
      <c r="B655" s="12" t="s">
        <v>89</v>
      </c>
      <c r="C655" s="12" t="s">
        <v>441</v>
      </c>
      <c r="D655" s="13">
        <v>800</v>
      </c>
      <c r="E655" s="10">
        <f>118950.5+57436.1</f>
        <v>176386.6</v>
      </c>
      <c r="F655" s="10">
        <v>23638</v>
      </c>
      <c r="G655" s="10">
        <v>23633</v>
      </c>
    </row>
    <row r="656" spans="1:7" x14ac:dyDescent="0.25">
      <c r="A656" s="41" t="s">
        <v>442</v>
      </c>
      <c r="B656" s="6" t="s">
        <v>443</v>
      </c>
      <c r="C656" s="6"/>
      <c r="D656" s="7"/>
      <c r="E656" s="8">
        <f t="shared" ref="E656:G661" si="227">E657</f>
        <v>74250.5</v>
      </c>
      <c r="F656" s="8">
        <f t="shared" si="227"/>
        <v>20582.900000000001</v>
      </c>
      <c r="G656" s="8">
        <f t="shared" si="227"/>
        <v>20582.900000000001</v>
      </c>
    </row>
    <row r="657" spans="1:7" ht="31.5" outlineLevel="1" x14ac:dyDescent="0.25">
      <c r="A657" s="11" t="s">
        <v>444</v>
      </c>
      <c r="B657" s="9" t="s">
        <v>445</v>
      </c>
      <c r="C657" s="9"/>
      <c r="D657" s="5"/>
      <c r="E657" s="10">
        <f t="shared" si="227"/>
        <v>74250.5</v>
      </c>
      <c r="F657" s="10">
        <f t="shared" si="227"/>
        <v>20582.900000000001</v>
      </c>
      <c r="G657" s="10">
        <f t="shared" si="227"/>
        <v>20582.900000000001</v>
      </c>
    </row>
    <row r="658" spans="1:7" ht="47.25" outlineLevel="1" x14ac:dyDescent="0.25">
      <c r="A658" s="47" t="s">
        <v>368</v>
      </c>
      <c r="B658" s="9" t="s">
        <v>445</v>
      </c>
      <c r="C658" s="9" t="s">
        <v>369</v>
      </c>
      <c r="D658" s="5"/>
      <c r="E658" s="10">
        <f t="shared" si="227"/>
        <v>74250.5</v>
      </c>
      <c r="F658" s="10">
        <f t="shared" si="227"/>
        <v>20582.900000000001</v>
      </c>
      <c r="G658" s="10">
        <f t="shared" si="227"/>
        <v>20582.900000000001</v>
      </c>
    </row>
    <row r="659" spans="1:7" outlineLevel="1" x14ac:dyDescent="0.25">
      <c r="A659" s="47" t="s">
        <v>144</v>
      </c>
      <c r="B659" s="16" t="s">
        <v>445</v>
      </c>
      <c r="C659" s="16" t="s">
        <v>404</v>
      </c>
      <c r="D659" s="13"/>
      <c r="E659" s="10">
        <f t="shared" si="227"/>
        <v>74250.5</v>
      </c>
      <c r="F659" s="10">
        <f t="shared" si="227"/>
        <v>20582.900000000001</v>
      </c>
      <c r="G659" s="10">
        <f t="shared" si="227"/>
        <v>20582.900000000001</v>
      </c>
    </row>
    <row r="660" spans="1:7" ht="47.25" outlineLevel="1" x14ac:dyDescent="0.25">
      <c r="A660" s="47" t="s">
        <v>405</v>
      </c>
      <c r="B660" s="16" t="s">
        <v>445</v>
      </c>
      <c r="C660" s="16" t="s">
        <v>406</v>
      </c>
      <c r="D660" s="13"/>
      <c r="E660" s="10">
        <f t="shared" si="227"/>
        <v>74250.5</v>
      </c>
      <c r="F660" s="10">
        <f t="shared" si="227"/>
        <v>20582.900000000001</v>
      </c>
      <c r="G660" s="10">
        <f t="shared" si="227"/>
        <v>20582.900000000001</v>
      </c>
    </row>
    <row r="661" spans="1:7" outlineLevel="1" x14ac:dyDescent="0.25">
      <c r="A661" s="48" t="s">
        <v>446</v>
      </c>
      <c r="B661" s="12" t="s">
        <v>445</v>
      </c>
      <c r="C661" s="12" t="s">
        <v>447</v>
      </c>
      <c r="D661" s="5"/>
      <c r="E661" s="10">
        <f t="shared" si="227"/>
        <v>74250.5</v>
      </c>
      <c r="F661" s="10">
        <f t="shared" si="227"/>
        <v>20582.900000000001</v>
      </c>
      <c r="G661" s="10">
        <f t="shared" si="227"/>
        <v>20582.900000000001</v>
      </c>
    </row>
    <row r="662" spans="1:7" ht="47.25" outlineLevel="1" x14ac:dyDescent="0.25">
      <c r="A662" s="11" t="s">
        <v>94</v>
      </c>
      <c r="B662" s="12" t="s">
        <v>445</v>
      </c>
      <c r="C662" s="12" t="s">
        <v>447</v>
      </c>
      <c r="D662" s="5">
        <v>600</v>
      </c>
      <c r="E662" s="10">
        <f>39028.4+35222.1</f>
        <v>74250.5</v>
      </c>
      <c r="F662" s="10">
        <v>20582.900000000001</v>
      </c>
      <c r="G662" s="10">
        <v>20582.900000000001</v>
      </c>
    </row>
    <row r="663" spans="1:7" x14ac:dyDescent="0.25">
      <c r="A663" s="41" t="s">
        <v>90</v>
      </c>
      <c r="B663" s="6" t="s">
        <v>91</v>
      </c>
      <c r="C663" s="19"/>
      <c r="D663" s="8"/>
      <c r="E663" s="91">
        <f>E664+E686+E753+E776+E794</f>
        <v>6039453.0999999996</v>
      </c>
      <c r="F663" s="91">
        <f>F664+F686+F753+F776+F794</f>
        <v>6289899.3999999994</v>
      </c>
      <c r="G663" s="91">
        <f>G664+G686+G753+G776+G794</f>
        <v>6625293.7999999998</v>
      </c>
    </row>
    <row r="664" spans="1:7" outlineLevel="1" x14ac:dyDescent="0.25">
      <c r="A664" s="11" t="s">
        <v>92</v>
      </c>
      <c r="B664" s="9" t="s">
        <v>93</v>
      </c>
      <c r="C664" s="9"/>
      <c r="D664" s="5"/>
      <c r="E664" s="10">
        <f>E665</f>
        <v>2194472.5</v>
      </c>
      <c r="F664" s="10">
        <f t="shared" ref="F664:G664" si="228">F665</f>
        <v>2058504.2</v>
      </c>
      <c r="G664" s="10">
        <f t="shared" si="228"/>
        <v>2177770.1999999997</v>
      </c>
    </row>
    <row r="665" spans="1:7" ht="31.5" outlineLevel="2" x14ac:dyDescent="0.25">
      <c r="A665" s="11" t="s">
        <v>208</v>
      </c>
      <c r="B665" s="9" t="s">
        <v>93</v>
      </c>
      <c r="C665" s="9" t="s">
        <v>209</v>
      </c>
      <c r="D665" s="5"/>
      <c r="E665" s="10">
        <f>E666+E672</f>
        <v>2194472.5</v>
      </c>
      <c r="F665" s="10">
        <f t="shared" ref="F665:G665" si="229">F666+F672</f>
        <v>2058504.2</v>
      </c>
      <c r="G665" s="10">
        <f t="shared" si="229"/>
        <v>2177770.1999999997</v>
      </c>
    </row>
    <row r="666" spans="1:7" ht="31.5" outlineLevel="2" x14ac:dyDescent="0.25">
      <c r="A666" s="11" t="s">
        <v>154</v>
      </c>
      <c r="B666" s="9" t="s">
        <v>93</v>
      </c>
      <c r="C666" s="9" t="s">
        <v>210</v>
      </c>
      <c r="D666" s="5"/>
      <c r="E666" s="10">
        <f>E667</f>
        <v>4000</v>
      </c>
      <c r="F666" s="10">
        <f t="shared" ref="F666:G666" si="230">F667</f>
        <v>16606.8</v>
      </c>
      <c r="G666" s="10">
        <f t="shared" si="230"/>
        <v>18845.8</v>
      </c>
    </row>
    <row r="667" spans="1:7" ht="47.25" outlineLevel="2" x14ac:dyDescent="0.25">
      <c r="A667" s="47" t="s">
        <v>211</v>
      </c>
      <c r="B667" s="9" t="s">
        <v>93</v>
      </c>
      <c r="C667" s="9" t="s">
        <v>212</v>
      </c>
      <c r="D667" s="5"/>
      <c r="E667" s="10">
        <f>E668+E670</f>
        <v>4000</v>
      </c>
      <c r="F667" s="10">
        <f t="shared" ref="F667:G667" si="231">F668+F670</f>
        <v>16606.8</v>
      </c>
      <c r="G667" s="10">
        <f t="shared" si="231"/>
        <v>18845.8</v>
      </c>
    </row>
    <row r="668" spans="1:7" ht="31.5" outlineLevel="2" x14ac:dyDescent="0.25">
      <c r="A668" s="42" t="s">
        <v>213</v>
      </c>
      <c r="B668" s="9" t="s">
        <v>93</v>
      </c>
      <c r="C668" s="9" t="s">
        <v>214</v>
      </c>
      <c r="D668" s="9"/>
      <c r="E668" s="10">
        <f>E669</f>
        <v>4000</v>
      </c>
      <c r="F668" s="10">
        <f t="shared" ref="F668:G668" si="232">F669</f>
        <v>0</v>
      </c>
      <c r="G668" s="10">
        <f t="shared" si="232"/>
        <v>0</v>
      </c>
    </row>
    <row r="669" spans="1:7" ht="47.25" outlineLevel="2" x14ac:dyDescent="0.25">
      <c r="A669" s="42" t="s">
        <v>94</v>
      </c>
      <c r="B669" s="9" t="s">
        <v>93</v>
      </c>
      <c r="C669" s="9" t="s">
        <v>214</v>
      </c>
      <c r="D669" s="9" t="s">
        <v>95</v>
      </c>
      <c r="E669" s="10">
        <v>4000</v>
      </c>
      <c r="F669" s="10">
        <v>0</v>
      </c>
      <c r="G669" s="10">
        <v>0</v>
      </c>
    </row>
    <row r="670" spans="1:7" ht="63" outlineLevel="2" x14ac:dyDescent="0.25">
      <c r="A670" s="42" t="s">
        <v>615</v>
      </c>
      <c r="B670" s="9" t="s">
        <v>93</v>
      </c>
      <c r="C670" s="9" t="s">
        <v>616</v>
      </c>
      <c r="D670" s="9"/>
      <c r="E670" s="10">
        <v>0</v>
      </c>
      <c r="F670" s="10">
        <v>16606.8</v>
      </c>
      <c r="G670" s="10">
        <v>18845.8</v>
      </c>
    </row>
    <row r="671" spans="1:7" ht="47.25" outlineLevel="2" x14ac:dyDescent="0.25">
      <c r="A671" s="42" t="s">
        <v>94</v>
      </c>
      <c r="B671" s="9" t="s">
        <v>93</v>
      </c>
      <c r="C671" s="9" t="s">
        <v>616</v>
      </c>
      <c r="D671" s="9" t="s">
        <v>95</v>
      </c>
      <c r="E671" s="10">
        <v>0</v>
      </c>
      <c r="F671" s="10">
        <v>16606.8</v>
      </c>
      <c r="G671" s="10">
        <v>18845.8</v>
      </c>
    </row>
    <row r="672" spans="1:7" outlineLevel="2" x14ac:dyDescent="0.25">
      <c r="A672" s="11" t="s">
        <v>144</v>
      </c>
      <c r="B672" s="9" t="s">
        <v>93</v>
      </c>
      <c r="C672" s="9" t="s">
        <v>215</v>
      </c>
      <c r="D672" s="5"/>
      <c r="E672" s="10">
        <f>E673+E681</f>
        <v>2190472.5</v>
      </c>
      <c r="F672" s="10">
        <f t="shared" ref="F672:G672" si="233">F673+F681</f>
        <v>2041897.4</v>
      </c>
      <c r="G672" s="10">
        <f t="shared" si="233"/>
        <v>2158924.4</v>
      </c>
    </row>
    <row r="673" spans="1:7" ht="63" outlineLevel="2" x14ac:dyDescent="0.25">
      <c r="A673" s="47" t="s">
        <v>492</v>
      </c>
      <c r="B673" s="9" t="s">
        <v>93</v>
      </c>
      <c r="C673" s="9" t="s">
        <v>216</v>
      </c>
      <c r="D673" s="5"/>
      <c r="E673" s="10">
        <f>E674+E676+E679</f>
        <v>2188627.2999999998</v>
      </c>
      <c r="F673" s="10">
        <f t="shared" ref="F673:G673" si="234">F674+F676+F679</f>
        <v>2040521.5</v>
      </c>
      <c r="G673" s="10">
        <f t="shared" si="234"/>
        <v>2157548.5</v>
      </c>
    </row>
    <row r="674" spans="1:7" ht="47.25" outlineLevel="2" x14ac:dyDescent="0.25">
      <c r="A674" s="40" t="s">
        <v>150</v>
      </c>
      <c r="B674" s="9" t="s">
        <v>93</v>
      </c>
      <c r="C674" s="9" t="s">
        <v>217</v>
      </c>
      <c r="D674" s="5"/>
      <c r="E674" s="10">
        <f>E675</f>
        <v>1002265.7</v>
      </c>
      <c r="F674" s="10">
        <f t="shared" ref="F674:G674" si="235">F675</f>
        <v>788966.2</v>
      </c>
      <c r="G674" s="10">
        <f t="shared" si="235"/>
        <v>905993.2</v>
      </c>
    </row>
    <row r="675" spans="1:7" ht="47.25" outlineLevel="2" x14ac:dyDescent="0.25">
      <c r="A675" s="11" t="s">
        <v>94</v>
      </c>
      <c r="B675" s="9" t="s">
        <v>93</v>
      </c>
      <c r="C675" s="9" t="s">
        <v>217</v>
      </c>
      <c r="D675" s="5">
        <v>600</v>
      </c>
      <c r="E675" s="10">
        <f>996676.6+3504+2085.1</f>
        <v>1002265.7</v>
      </c>
      <c r="F675" s="10">
        <v>788966.2</v>
      </c>
      <c r="G675" s="10">
        <v>905993.2</v>
      </c>
    </row>
    <row r="676" spans="1:7" ht="78.75" outlineLevel="2" x14ac:dyDescent="0.25">
      <c r="A676" s="47" t="s">
        <v>218</v>
      </c>
      <c r="B676" s="9" t="s">
        <v>93</v>
      </c>
      <c r="C676" s="9" t="s">
        <v>219</v>
      </c>
      <c r="D676" s="5"/>
      <c r="E676" s="10">
        <f>E677+E678</f>
        <v>17791.7</v>
      </c>
      <c r="F676" s="10">
        <f t="shared" ref="F676:G676" si="236">F677+F678</f>
        <v>17791.7</v>
      </c>
      <c r="G676" s="10">
        <f t="shared" si="236"/>
        <v>17791.7</v>
      </c>
    </row>
    <row r="677" spans="1:7" ht="47.25" outlineLevel="2" x14ac:dyDescent="0.25">
      <c r="A677" s="11" t="s">
        <v>94</v>
      </c>
      <c r="B677" s="9" t="s">
        <v>93</v>
      </c>
      <c r="C677" s="9" t="s">
        <v>219</v>
      </c>
      <c r="D677" s="5">
        <v>600</v>
      </c>
      <c r="E677" s="10">
        <v>6239.9999999999991</v>
      </c>
      <c r="F677" s="10">
        <v>8160.5</v>
      </c>
      <c r="G677" s="10">
        <v>8160.5</v>
      </c>
    </row>
    <row r="678" spans="1:7" outlineLevel="2" x14ac:dyDescent="0.25">
      <c r="A678" s="42" t="s">
        <v>33</v>
      </c>
      <c r="B678" s="9" t="s">
        <v>93</v>
      </c>
      <c r="C678" s="9" t="s">
        <v>219</v>
      </c>
      <c r="D678" s="5">
        <v>800</v>
      </c>
      <c r="E678" s="10">
        <v>11551.7</v>
      </c>
      <c r="F678" s="10">
        <v>9631.2000000000007</v>
      </c>
      <c r="G678" s="10">
        <v>9631.2000000000007</v>
      </c>
    </row>
    <row r="679" spans="1:7" ht="204.75" outlineLevel="2" x14ac:dyDescent="0.25">
      <c r="A679" s="47" t="s">
        <v>220</v>
      </c>
      <c r="B679" s="9" t="s">
        <v>93</v>
      </c>
      <c r="C679" s="9" t="s">
        <v>221</v>
      </c>
      <c r="D679" s="5"/>
      <c r="E679" s="10">
        <f t="shared" ref="E679:G679" si="237">E680</f>
        <v>1168569.8999999999</v>
      </c>
      <c r="F679" s="10">
        <f t="shared" si="237"/>
        <v>1233763.6000000001</v>
      </c>
      <c r="G679" s="10">
        <f t="shared" si="237"/>
        <v>1233763.6000000001</v>
      </c>
    </row>
    <row r="680" spans="1:7" ht="47.25" outlineLevel="2" x14ac:dyDescent="0.25">
      <c r="A680" s="11" t="s">
        <v>94</v>
      </c>
      <c r="B680" s="9" t="s">
        <v>93</v>
      </c>
      <c r="C680" s="9" t="s">
        <v>221</v>
      </c>
      <c r="D680" s="9" t="s">
        <v>95</v>
      </c>
      <c r="E680" s="10">
        <v>1168569.8999999999</v>
      </c>
      <c r="F680" s="10">
        <v>1233763.6000000001</v>
      </c>
      <c r="G680" s="10">
        <v>1233763.6000000001</v>
      </c>
    </row>
    <row r="681" spans="1:7" ht="63" outlineLevel="2" x14ac:dyDescent="0.25">
      <c r="A681" s="47" t="s">
        <v>486</v>
      </c>
      <c r="B681" s="9" t="s">
        <v>93</v>
      </c>
      <c r="C681" s="9" t="s">
        <v>222</v>
      </c>
      <c r="D681" s="9"/>
      <c r="E681" s="10">
        <f>E684+E682</f>
        <v>1845.2</v>
      </c>
      <c r="F681" s="10">
        <f>F684</f>
        <v>1375.9</v>
      </c>
      <c r="G681" s="10">
        <f>G684</f>
        <v>1375.9</v>
      </c>
    </row>
    <row r="682" spans="1:7" ht="31.5" outlineLevel="2" x14ac:dyDescent="0.25">
      <c r="A682" s="38" t="s">
        <v>248</v>
      </c>
      <c r="B682" s="9" t="s">
        <v>93</v>
      </c>
      <c r="C682" s="9" t="s">
        <v>249</v>
      </c>
      <c r="D682" s="9"/>
      <c r="E682" s="10">
        <f>E683</f>
        <v>269.29999999999995</v>
      </c>
      <c r="F682" s="10">
        <f t="shared" ref="F682:G682" si="238">F683</f>
        <v>0</v>
      </c>
      <c r="G682" s="10">
        <f t="shared" si="238"/>
        <v>0</v>
      </c>
    </row>
    <row r="683" spans="1:7" ht="47.25" outlineLevel="2" x14ac:dyDescent="0.25">
      <c r="A683" s="69" t="s">
        <v>94</v>
      </c>
      <c r="B683" s="9" t="s">
        <v>93</v>
      </c>
      <c r="C683" s="9" t="s">
        <v>249</v>
      </c>
      <c r="D683" s="9">
        <v>600</v>
      </c>
      <c r="E683" s="10">
        <f>130.2+139.1</f>
        <v>269.29999999999995</v>
      </c>
      <c r="F683" s="10">
        <v>0</v>
      </c>
      <c r="G683" s="10">
        <v>0</v>
      </c>
    </row>
    <row r="684" spans="1:7" ht="47.25" outlineLevel="2" x14ac:dyDescent="0.25">
      <c r="A684" s="70" t="s">
        <v>223</v>
      </c>
      <c r="B684" s="24" t="s">
        <v>93</v>
      </c>
      <c r="C684" s="25" t="s">
        <v>224</v>
      </c>
      <c r="D684" s="24"/>
      <c r="E684" s="10">
        <f>E685</f>
        <v>1575.9</v>
      </c>
      <c r="F684" s="10">
        <f t="shared" ref="F684:G684" si="239">F685</f>
        <v>1375.9</v>
      </c>
      <c r="G684" s="10">
        <f t="shared" si="239"/>
        <v>1375.9</v>
      </c>
    </row>
    <row r="685" spans="1:7" ht="47.25" outlineLevel="2" x14ac:dyDescent="0.25">
      <c r="A685" s="11" t="s">
        <v>94</v>
      </c>
      <c r="B685" s="24" t="s">
        <v>93</v>
      </c>
      <c r="C685" s="25" t="s">
        <v>224</v>
      </c>
      <c r="D685" s="24">
        <v>600</v>
      </c>
      <c r="E685" s="10">
        <v>1575.9</v>
      </c>
      <c r="F685" s="10">
        <v>1375.9</v>
      </c>
      <c r="G685" s="10">
        <v>1375.9</v>
      </c>
    </row>
    <row r="686" spans="1:7" outlineLevel="1" x14ac:dyDescent="0.25">
      <c r="A686" s="11" t="s">
        <v>225</v>
      </c>
      <c r="B686" s="9" t="s">
        <v>226</v>
      </c>
      <c r="C686" s="25"/>
      <c r="D686" s="5"/>
      <c r="E686" s="10">
        <f>E687</f>
        <v>2876871.2</v>
      </c>
      <c r="F686" s="10">
        <f t="shared" ref="F686:G686" si="240">F687</f>
        <v>3483195.8999999994</v>
      </c>
      <c r="G686" s="10">
        <f t="shared" si="240"/>
        <v>3675368.1</v>
      </c>
    </row>
    <row r="687" spans="1:7" ht="31.5" outlineLevel="2" x14ac:dyDescent="0.25">
      <c r="A687" s="11" t="s">
        <v>208</v>
      </c>
      <c r="B687" s="9" t="s">
        <v>226</v>
      </c>
      <c r="C687" s="25" t="s">
        <v>209</v>
      </c>
      <c r="D687" s="5"/>
      <c r="E687" s="10">
        <f>E688+E712+E702</f>
        <v>2876871.2</v>
      </c>
      <c r="F687" s="10">
        <f t="shared" ref="F687:G687" si="241">F688+F712+F702</f>
        <v>3483195.8999999994</v>
      </c>
      <c r="G687" s="10">
        <f t="shared" si="241"/>
        <v>3675368.1</v>
      </c>
    </row>
    <row r="688" spans="1:7" outlineLevel="2" x14ac:dyDescent="0.25">
      <c r="A688" s="11" t="s">
        <v>227</v>
      </c>
      <c r="B688" s="9" t="s">
        <v>226</v>
      </c>
      <c r="C688" s="25" t="s">
        <v>228</v>
      </c>
      <c r="D688" s="5"/>
      <c r="E688" s="10">
        <f>E689+E693</f>
        <v>149062.30000000002</v>
      </c>
      <c r="F688" s="10">
        <f t="shared" ref="F688:G688" si="242">F689+F693</f>
        <v>281563.40000000002</v>
      </c>
      <c r="G688" s="10">
        <f t="shared" si="242"/>
        <v>254952.30000000002</v>
      </c>
    </row>
    <row r="689" spans="1:7" outlineLevel="2" x14ac:dyDescent="0.25">
      <c r="A689" s="40" t="s">
        <v>617</v>
      </c>
      <c r="B689" s="9" t="s">
        <v>226</v>
      </c>
      <c r="C689" s="25" t="s">
        <v>620</v>
      </c>
      <c r="D689" s="5"/>
      <c r="E689" s="10">
        <f>E690</f>
        <v>0</v>
      </c>
      <c r="F689" s="10">
        <f t="shared" ref="F689:G689" si="243">F690</f>
        <v>144469.79999999999</v>
      </c>
      <c r="G689" s="10">
        <f t="shared" si="243"/>
        <v>117858.70000000001</v>
      </c>
    </row>
    <row r="690" spans="1:7" outlineLevel="2" x14ac:dyDescent="0.25">
      <c r="A690" s="40" t="s">
        <v>617</v>
      </c>
      <c r="B690" s="9" t="s">
        <v>226</v>
      </c>
      <c r="C690" s="25" t="s">
        <v>618</v>
      </c>
      <c r="D690" s="5"/>
      <c r="E690" s="10">
        <f>E691</f>
        <v>0</v>
      </c>
      <c r="F690" s="10">
        <f>F691</f>
        <v>144469.79999999999</v>
      </c>
      <c r="G690" s="10">
        <f>G691</f>
        <v>117858.70000000001</v>
      </c>
    </row>
    <row r="691" spans="1:7" ht="78.75" outlineLevel="2" x14ac:dyDescent="0.25">
      <c r="A691" s="40" t="s">
        <v>619</v>
      </c>
      <c r="B691" s="9" t="s">
        <v>226</v>
      </c>
      <c r="C691" s="25" t="s">
        <v>618</v>
      </c>
      <c r="D691" s="5"/>
      <c r="E691" s="10">
        <f>+E692</f>
        <v>0</v>
      </c>
      <c r="F691" s="10">
        <f>F692</f>
        <v>144469.79999999999</v>
      </c>
      <c r="G691" s="10">
        <v>117858.70000000001</v>
      </c>
    </row>
    <row r="692" spans="1:7" ht="47.25" outlineLevel="2" x14ac:dyDescent="0.25">
      <c r="A692" s="40" t="s">
        <v>94</v>
      </c>
      <c r="B692" s="9" t="s">
        <v>226</v>
      </c>
      <c r="C692" s="9" t="s">
        <v>618</v>
      </c>
      <c r="D692" s="5">
        <v>600</v>
      </c>
      <c r="E692" s="10">
        <v>0</v>
      </c>
      <c r="F692" s="10">
        <v>144469.79999999999</v>
      </c>
      <c r="G692" s="10">
        <v>117858.70000000001</v>
      </c>
    </row>
    <row r="693" spans="1:7" ht="31.5" outlineLevel="2" x14ac:dyDescent="0.25">
      <c r="A693" s="11" t="s">
        <v>603</v>
      </c>
      <c r="B693" s="9" t="s">
        <v>226</v>
      </c>
      <c r="C693" s="9" t="s">
        <v>604</v>
      </c>
      <c r="D693" s="5"/>
      <c r="E693" s="10">
        <f>E694+E696+E698+E700</f>
        <v>149062.30000000002</v>
      </c>
      <c r="F693" s="10">
        <f t="shared" ref="F693:G693" si="244">F694+F696+F698+F700</f>
        <v>137093.6</v>
      </c>
      <c r="G693" s="10">
        <f t="shared" si="244"/>
        <v>137093.6</v>
      </c>
    </row>
    <row r="694" spans="1:7" ht="189" outlineLevel="2" x14ac:dyDescent="0.25">
      <c r="A694" s="40" t="s">
        <v>599</v>
      </c>
      <c r="B694" s="9" t="s">
        <v>226</v>
      </c>
      <c r="C694" s="9" t="s">
        <v>600</v>
      </c>
      <c r="D694" s="9"/>
      <c r="E694" s="10">
        <f>E695</f>
        <v>2460.8000000000002</v>
      </c>
      <c r="F694" s="10">
        <f t="shared" ref="F694:G694" si="245">F695</f>
        <v>2460.8000000000002</v>
      </c>
      <c r="G694" s="10">
        <f t="shared" si="245"/>
        <v>2460.8000000000002</v>
      </c>
    </row>
    <row r="695" spans="1:7" ht="47.25" outlineLevel="2" x14ac:dyDescent="0.25">
      <c r="A695" s="42" t="s">
        <v>94</v>
      </c>
      <c r="B695" s="9" t="s">
        <v>226</v>
      </c>
      <c r="C695" s="9" t="s">
        <v>600</v>
      </c>
      <c r="D695" s="9" t="s">
        <v>95</v>
      </c>
      <c r="E695" s="10">
        <v>2460.8000000000002</v>
      </c>
      <c r="F695" s="10">
        <v>2460.8000000000002</v>
      </c>
      <c r="G695" s="10">
        <v>2460.8000000000002</v>
      </c>
    </row>
    <row r="696" spans="1:7" ht="78.75" outlineLevel="2" x14ac:dyDescent="0.25">
      <c r="A696" s="43" t="s">
        <v>229</v>
      </c>
      <c r="B696" s="9" t="s">
        <v>226</v>
      </c>
      <c r="C696" s="9" t="s">
        <v>601</v>
      </c>
      <c r="D696" s="9"/>
      <c r="E696" s="10">
        <f>E697</f>
        <v>7844</v>
      </c>
      <c r="F696" s="10">
        <f t="shared" ref="F696:G696" si="246">F697</f>
        <v>7844.0000000000009</v>
      </c>
      <c r="G696" s="10">
        <f t="shared" si="246"/>
        <v>7844.0000000000009</v>
      </c>
    </row>
    <row r="697" spans="1:7" ht="47.25" outlineLevel="2" x14ac:dyDescent="0.25">
      <c r="A697" s="42" t="s">
        <v>94</v>
      </c>
      <c r="B697" s="9" t="s">
        <v>226</v>
      </c>
      <c r="C697" s="9" t="s">
        <v>601</v>
      </c>
      <c r="D697" s="9" t="s">
        <v>95</v>
      </c>
      <c r="E697" s="10">
        <v>7844</v>
      </c>
      <c r="F697" s="10">
        <v>7844.0000000000009</v>
      </c>
      <c r="G697" s="10">
        <v>7844.0000000000009</v>
      </c>
    </row>
    <row r="698" spans="1:7" ht="141.75" outlineLevel="2" x14ac:dyDescent="0.25">
      <c r="A698" s="11" t="s">
        <v>242</v>
      </c>
      <c r="B698" s="9" t="s">
        <v>226</v>
      </c>
      <c r="C698" s="9" t="s">
        <v>602</v>
      </c>
      <c r="D698" s="9"/>
      <c r="E698" s="10">
        <f>E699</f>
        <v>126788.8</v>
      </c>
      <c r="F698" s="10">
        <f t="shared" ref="F698:G698" si="247">F699</f>
        <v>126788.8</v>
      </c>
      <c r="G698" s="10">
        <f t="shared" si="247"/>
        <v>126788.8</v>
      </c>
    </row>
    <row r="699" spans="1:7" ht="47.25" outlineLevel="2" x14ac:dyDescent="0.25">
      <c r="A699" s="11" t="s">
        <v>94</v>
      </c>
      <c r="B699" s="9" t="s">
        <v>226</v>
      </c>
      <c r="C699" s="9" t="s">
        <v>602</v>
      </c>
      <c r="D699" s="9" t="s">
        <v>95</v>
      </c>
      <c r="E699" s="10">
        <v>126788.8</v>
      </c>
      <c r="F699" s="10">
        <v>126788.8</v>
      </c>
      <c r="G699" s="10">
        <v>126788.8</v>
      </c>
    </row>
    <row r="700" spans="1:7" ht="78.75" outlineLevel="2" x14ac:dyDescent="0.25">
      <c r="A700" s="54" t="s">
        <v>841</v>
      </c>
      <c r="B700" s="33" t="s">
        <v>226</v>
      </c>
      <c r="C700" s="9" t="s">
        <v>842</v>
      </c>
      <c r="D700" s="33"/>
      <c r="E700" s="10">
        <f>+E701</f>
        <v>11968.7</v>
      </c>
      <c r="F700" s="10">
        <f t="shared" ref="F700:G700" si="248">+F701</f>
        <v>0</v>
      </c>
      <c r="G700" s="10">
        <f t="shared" si="248"/>
        <v>0</v>
      </c>
    </row>
    <row r="701" spans="1:7" ht="47.25" outlineLevel="2" x14ac:dyDescent="0.25">
      <c r="A701" s="53" t="s">
        <v>94</v>
      </c>
      <c r="B701" s="33" t="s">
        <v>226</v>
      </c>
      <c r="C701" s="9" t="s">
        <v>842</v>
      </c>
      <c r="D701" s="33" t="s">
        <v>95</v>
      </c>
      <c r="E701" s="10">
        <f>119.7+11849</f>
        <v>11968.7</v>
      </c>
      <c r="F701" s="10">
        <v>0</v>
      </c>
      <c r="G701" s="10">
        <v>0</v>
      </c>
    </row>
    <row r="702" spans="1:7" ht="31.5" outlineLevel="2" x14ac:dyDescent="0.25">
      <c r="A702" s="11" t="s">
        <v>154</v>
      </c>
      <c r="B702" s="9" t="s">
        <v>226</v>
      </c>
      <c r="C702" s="9" t="s">
        <v>210</v>
      </c>
      <c r="D702" s="5"/>
      <c r="E702" s="10">
        <f>E703</f>
        <v>48660.099999999926</v>
      </c>
      <c r="F702" s="10">
        <f>F703</f>
        <v>596213.1</v>
      </c>
      <c r="G702" s="10">
        <f>G703</f>
        <v>587792.10000000009</v>
      </c>
    </row>
    <row r="703" spans="1:7" ht="47.25" outlineLevel="2" x14ac:dyDescent="0.25">
      <c r="A703" s="47" t="s">
        <v>211</v>
      </c>
      <c r="B703" s="9" t="s">
        <v>226</v>
      </c>
      <c r="C703" s="9" t="s">
        <v>212</v>
      </c>
      <c r="D703" s="5"/>
      <c r="E703" s="10">
        <f>E704+E708+E710</f>
        <v>48660.099999999926</v>
      </c>
      <c r="F703" s="10">
        <f>F704+F707+F709</f>
        <v>596213.1</v>
      </c>
      <c r="G703" s="10">
        <f>G704+G707+G709</f>
        <v>587792.10000000009</v>
      </c>
    </row>
    <row r="704" spans="1:7" ht="63" outlineLevel="2" x14ac:dyDescent="0.25">
      <c r="A704" s="11" t="s">
        <v>230</v>
      </c>
      <c r="B704" s="9" t="s">
        <v>226</v>
      </c>
      <c r="C704" s="9" t="s">
        <v>605</v>
      </c>
      <c r="D704" s="9"/>
      <c r="E704" s="10">
        <f>E705</f>
        <v>45483.79999999993</v>
      </c>
      <c r="F704" s="10">
        <f t="shared" ref="F704:G704" si="249">F705</f>
        <v>574629.1</v>
      </c>
      <c r="G704" s="10">
        <f t="shared" si="249"/>
        <v>574629.20000000007</v>
      </c>
    </row>
    <row r="705" spans="1:7" outlineLevel="2" x14ac:dyDescent="0.25">
      <c r="A705" s="38" t="s">
        <v>33</v>
      </c>
      <c r="B705" s="9" t="s">
        <v>226</v>
      </c>
      <c r="C705" s="9" t="s">
        <v>605</v>
      </c>
      <c r="D705" s="9" t="s">
        <v>522</v>
      </c>
      <c r="E705" s="10">
        <f>574795.7-529311.9</f>
        <v>45483.79999999993</v>
      </c>
      <c r="F705" s="10">
        <v>574629.1</v>
      </c>
      <c r="G705" s="10">
        <v>574629.20000000007</v>
      </c>
    </row>
    <row r="706" spans="1:7" ht="63" outlineLevel="2" x14ac:dyDescent="0.25">
      <c r="A706" s="38" t="s">
        <v>615</v>
      </c>
      <c r="B706" s="9" t="s">
        <v>226</v>
      </c>
      <c r="C706" s="9" t="s">
        <v>616</v>
      </c>
      <c r="D706" s="9"/>
      <c r="E706" s="10">
        <f>E707</f>
        <v>0</v>
      </c>
      <c r="F706" s="10">
        <f>F707</f>
        <v>19456.300000000003</v>
      </c>
      <c r="G706" s="10">
        <f>G707</f>
        <v>8907.6</v>
      </c>
    </row>
    <row r="707" spans="1:7" ht="47.25" outlineLevel="2" x14ac:dyDescent="0.25">
      <c r="A707" s="38" t="s">
        <v>94</v>
      </c>
      <c r="B707" s="9" t="s">
        <v>226</v>
      </c>
      <c r="C707" s="9" t="s">
        <v>616</v>
      </c>
      <c r="D707" s="9" t="s">
        <v>95</v>
      </c>
      <c r="E707" s="10">
        <v>0</v>
      </c>
      <c r="F707" s="10">
        <v>19456.300000000003</v>
      </c>
      <c r="G707" s="10">
        <v>8907.6</v>
      </c>
    </row>
    <row r="708" spans="1:7" ht="47.25" outlineLevel="2" x14ac:dyDescent="0.25">
      <c r="A708" s="38" t="s">
        <v>231</v>
      </c>
      <c r="B708" s="9" t="s">
        <v>226</v>
      </c>
      <c r="C708" s="9" t="s">
        <v>232</v>
      </c>
      <c r="D708" s="9"/>
      <c r="E708" s="10">
        <f>E709</f>
        <v>2127.6999999999998</v>
      </c>
      <c r="F708" s="10">
        <f>F709</f>
        <v>2127.6999999999998</v>
      </c>
      <c r="G708" s="10">
        <f>G709</f>
        <v>4255.2999999999993</v>
      </c>
    </row>
    <row r="709" spans="1:7" ht="47.25" outlineLevel="2" x14ac:dyDescent="0.25">
      <c r="A709" s="38" t="s">
        <v>94</v>
      </c>
      <c r="B709" s="9" t="s">
        <v>226</v>
      </c>
      <c r="C709" s="9" t="s">
        <v>232</v>
      </c>
      <c r="D709" s="9" t="s">
        <v>95</v>
      </c>
      <c r="E709" s="10">
        <v>2127.6999999999998</v>
      </c>
      <c r="F709" s="10">
        <v>2127.6999999999998</v>
      </c>
      <c r="G709" s="10">
        <v>4255.2999999999993</v>
      </c>
    </row>
    <row r="710" spans="1:7" ht="31.5" outlineLevel="2" x14ac:dyDescent="0.25">
      <c r="A710" s="47" t="s">
        <v>585</v>
      </c>
      <c r="B710" s="9" t="s">
        <v>226</v>
      </c>
      <c r="C710" s="9" t="s">
        <v>586</v>
      </c>
      <c r="D710" s="9"/>
      <c r="E710" s="10">
        <f>E711</f>
        <v>1048.6000000000001</v>
      </c>
      <c r="F710" s="10">
        <f t="shared" ref="F710:G710" si="250">F711</f>
        <v>0</v>
      </c>
      <c r="G710" s="10">
        <f t="shared" si="250"/>
        <v>0</v>
      </c>
    </row>
    <row r="711" spans="1:7" ht="47.25" outlineLevel="2" x14ac:dyDescent="0.25">
      <c r="A711" s="42" t="s">
        <v>94</v>
      </c>
      <c r="B711" s="9" t="s">
        <v>226</v>
      </c>
      <c r="C711" s="9" t="s">
        <v>586</v>
      </c>
      <c r="D711" s="9" t="s">
        <v>95</v>
      </c>
      <c r="E711" s="10">
        <v>1048.6000000000001</v>
      </c>
      <c r="F711" s="10">
        <v>0</v>
      </c>
      <c r="G711" s="10">
        <v>0</v>
      </c>
    </row>
    <row r="712" spans="1:7" outlineLevel="2" x14ac:dyDescent="0.25">
      <c r="A712" s="11" t="s">
        <v>144</v>
      </c>
      <c r="B712" s="9" t="s">
        <v>226</v>
      </c>
      <c r="C712" s="9" t="s">
        <v>215</v>
      </c>
      <c r="D712" s="9"/>
      <c r="E712" s="10">
        <f>E713+E742</f>
        <v>2679148.8000000003</v>
      </c>
      <c r="F712" s="10">
        <f>F713+F742</f>
        <v>2605419.3999999994</v>
      </c>
      <c r="G712" s="10">
        <f>G713+G742</f>
        <v>2832623.7</v>
      </c>
    </row>
    <row r="713" spans="1:7" ht="63" outlineLevel="2" x14ac:dyDescent="0.25">
      <c r="A713" s="47" t="s">
        <v>492</v>
      </c>
      <c r="B713" s="9" t="s">
        <v>226</v>
      </c>
      <c r="C713" s="9" t="s">
        <v>216</v>
      </c>
      <c r="D713" s="5"/>
      <c r="E713" s="10">
        <f>E716+E718+E720+E722+E726+E730+E732+E734+E736+E714+E728+E738++E740+E724</f>
        <v>2671090.7000000002</v>
      </c>
      <c r="F713" s="10">
        <f>F716+F718+F720+F722+F726+F730+F732+F734+F736+F714+F728+F738++F740</f>
        <v>2598606.2999999993</v>
      </c>
      <c r="G713" s="10">
        <f>G716+G718+G720+G722+G726+G730+G732+G734+G736+G714+G728+G738++G740</f>
        <v>2825810.6</v>
      </c>
    </row>
    <row r="714" spans="1:7" ht="78.75" outlineLevel="2" x14ac:dyDescent="0.25">
      <c r="A714" s="47" t="s">
        <v>233</v>
      </c>
      <c r="B714" s="9" t="s">
        <v>226</v>
      </c>
      <c r="C714" s="9" t="s">
        <v>606</v>
      </c>
      <c r="D714" s="9"/>
      <c r="E714" s="10">
        <f>E715</f>
        <v>156435.40000000002</v>
      </c>
      <c r="F714" s="10">
        <f t="shared" ref="F714:G714" si="251">F715</f>
        <v>175684.4</v>
      </c>
      <c r="G714" s="10">
        <f t="shared" si="251"/>
        <v>171331.19999999998</v>
      </c>
    </row>
    <row r="715" spans="1:7" ht="47.25" outlineLevel="2" x14ac:dyDescent="0.25">
      <c r="A715" s="11" t="s">
        <v>94</v>
      </c>
      <c r="B715" s="9" t="s">
        <v>226</v>
      </c>
      <c r="C715" s="9" t="s">
        <v>606</v>
      </c>
      <c r="D715" s="9">
        <v>600</v>
      </c>
      <c r="E715" s="10">
        <f>186695.7-30260.3</f>
        <v>156435.40000000002</v>
      </c>
      <c r="F715" s="10">
        <v>175684.4</v>
      </c>
      <c r="G715" s="10">
        <v>171331.19999999998</v>
      </c>
    </row>
    <row r="716" spans="1:7" ht="63" outlineLevel="2" x14ac:dyDescent="0.25">
      <c r="A716" s="47" t="s">
        <v>234</v>
      </c>
      <c r="B716" s="9" t="s">
        <v>226</v>
      </c>
      <c r="C716" s="12" t="s">
        <v>235</v>
      </c>
      <c r="D716" s="26"/>
      <c r="E716" s="10">
        <f>E717</f>
        <v>39524.1</v>
      </c>
      <c r="F716" s="10">
        <f>F717</f>
        <v>35454.1</v>
      </c>
      <c r="G716" s="10">
        <f>G717</f>
        <v>35454.1</v>
      </c>
    </row>
    <row r="717" spans="1:7" ht="47.25" outlineLevel="2" x14ac:dyDescent="0.25">
      <c r="A717" s="11" t="s">
        <v>94</v>
      </c>
      <c r="B717" s="9" t="s">
        <v>226</v>
      </c>
      <c r="C717" s="12" t="s">
        <v>235</v>
      </c>
      <c r="D717" s="13">
        <v>600</v>
      </c>
      <c r="E717" s="10">
        <v>39524.1</v>
      </c>
      <c r="F717" s="10">
        <v>35454.1</v>
      </c>
      <c r="G717" s="10">
        <v>35454.1</v>
      </c>
    </row>
    <row r="718" spans="1:7" ht="47.25" outlineLevel="2" x14ac:dyDescent="0.25">
      <c r="A718" s="40" t="s">
        <v>150</v>
      </c>
      <c r="B718" s="9" t="s">
        <v>226</v>
      </c>
      <c r="C718" s="9" t="s">
        <v>217</v>
      </c>
      <c r="D718" s="5"/>
      <c r="E718" s="10">
        <f>E719</f>
        <v>572791.9</v>
      </c>
      <c r="F718" s="10">
        <f t="shared" ref="F718:G718" si="252">F719</f>
        <v>349257.89999999997</v>
      </c>
      <c r="G718" s="10">
        <f t="shared" si="252"/>
        <v>371929.4</v>
      </c>
    </row>
    <row r="719" spans="1:7" ht="47.25" outlineLevel="2" x14ac:dyDescent="0.25">
      <c r="A719" s="11" t="s">
        <v>94</v>
      </c>
      <c r="B719" s="9" t="s">
        <v>226</v>
      </c>
      <c r="C719" s="9" t="s">
        <v>217</v>
      </c>
      <c r="D719" s="5">
        <v>600</v>
      </c>
      <c r="E719" s="10">
        <f>563476+921.3+3496+4898.6</f>
        <v>572791.9</v>
      </c>
      <c r="F719" s="10">
        <v>349257.89999999997</v>
      </c>
      <c r="G719" s="10">
        <v>371929.4</v>
      </c>
    </row>
    <row r="720" spans="1:7" ht="47.25" outlineLevel="2" x14ac:dyDescent="0.25">
      <c r="A720" s="47" t="s">
        <v>236</v>
      </c>
      <c r="B720" s="9" t="s">
        <v>226</v>
      </c>
      <c r="C720" s="9" t="s">
        <v>237</v>
      </c>
      <c r="D720" s="5"/>
      <c r="E720" s="10">
        <f>E721</f>
        <v>83811.799999999988</v>
      </c>
      <c r="F720" s="10">
        <f t="shared" ref="F720:G720" si="253">F721</f>
        <v>73083.399999999994</v>
      </c>
      <c r="G720" s="10">
        <f t="shared" si="253"/>
        <v>73083.399999999994</v>
      </c>
    </row>
    <row r="721" spans="1:7" ht="47.25" outlineLevel="2" x14ac:dyDescent="0.25">
      <c r="A721" s="11" t="s">
        <v>94</v>
      </c>
      <c r="B721" s="9" t="s">
        <v>226</v>
      </c>
      <c r="C721" s="9" t="s">
        <v>237</v>
      </c>
      <c r="D721" s="5">
        <v>600</v>
      </c>
      <c r="E721" s="10">
        <v>83811.799999999988</v>
      </c>
      <c r="F721" s="10">
        <v>73083.399999999994</v>
      </c>
      <c r="G721" s="10">
        <v>73083.399999999994</v>
      </c>
    </row>
    <row r="722" spans="1:7" ht="63" outlineLevel="2" x14ac:dyDescent="0.25">
      <c r="A722" s="47" t="s">
        <v>238</v>
      </c>
      <c r="B722" s="9" t="s">
        <v>226</v>
      </c>
      <c r="C722" s="12" t="s">
        <v>239</v>
      </c>
      <c r="D722" s="26"/>
      <c r="E722" s="10">
        <f>E723</f>
        <v>418</v>
      </c>
      <c r="F722" s="10">
        <f t="shared" ref="F722:G722" si="254">F723</f>
        <v>1000</v>
      </c>
      <c r="G722" s="10">
        <f t="shared" si="254"/>
        <v>1000</v>
      </c>
    </row>
    <row r="723" spans="1:7" ht="47.25" outlineLevel="2" x14ac:dyDescent="0.25">
      <c r="A723" s="11" t="s">
        <v>94</v>
      </c>
      <c r="B723" s="9" t="s">
        <v>226</v>
      </c>
      <c r="C723" s="12" t="s">
        <v>239</v>
      </c>
      <c r="D723" s="13">
        <v>600</v>
      </c>
      <c r="E723" s="10">
        <f>798-380</f>
        <v>418</v>
      </c>
      <c r="F723" s="10">
        <v>1000</v>
      </c>
      <c r="G723" s="10">
        <v>1000</v>
      </c>
    </row>
    <row r="724" spans="1:7" ht="110.25" outlineLevel="2" x14ac:dyDescent="0.25">
      <c r="A724" s="11" t="s">
        <v>712</v>
      </c>
      <c r="B724" s="9" t="s">
        <v>226</v>
      </c>
      <c r="C724" s="9" t="s">
        <v>713</v>
      </c>
      <c r="D724" s="9"/>
      <c r="E724" s="10">
        <f>E725</f>
        <v>9.2000000000000028</v>
      </c>
      <c r="F724" s="10">
        <f t="shared" ref="F724:G724" si="255">F725</f>
        <v>0</v>
      </c>
      <c r="G724" s="10">
        <f t="shared" si="255"/>
        <v>0</v>
      </c>
    </row>
    <row r="725" spans="1:7" ht="47.25" outlineLevel="2" x14ac:dyDescent="0.25">
      <c r="A725" s="11" t="s">
        <v>94</v>
      </c>
      <c r="B725" s="9" t="s">
        <v>226</v>
      </c>
      <c r="C725" s="9" t="s">
        <v>713</v>
      </c>
      <c r="D725" s="9">
        <v>600</v>
      </c>
      <c r="E725" s="10">
        <f>100-90.8</f>
        <v>9.2000000000000028</v>
      </c>
      <c r="F725" s="10">
        <v>0</v>
      </c>
      <c r="G725" s="10">
        <v>0</v>
      </c>
    </row>
    <row r="726" spans="1:7" ht="78.75" outlineLevel="2" x14ac:dyDescent="0.25">
      <c r="A726" s="47" t="s">
        <v>240</v>
      </c>
      <c r="B726" s="9" t="s">
        <v>226</v>
      </c>
      <c r="C726" s="12" t="s">
        <v>241</v>
      </c>
      <c r="D726" s="13"/>
      <c r="E726" s="10">
        <f>E727</f>
        <v>7812.3000000000011</v>
      </c>
      <c r="F726" s="10">
        <f t="shared" ref="F726:G726" si="256">F727</f>
        <v>8382.2000000000007</v>
      </c>
      <c r="G726" s="10">
        <f t="shared" si="256"/>
        <v>8382.2000000000007</v>
      </c>
    </row>
    <row r="727" spans="1:7" ht="47.25" outlineLevel="2" x14ac:dyDescent="0.25">
      <c r="A727" s="11" t="s">
        <v>94</v>
      </c>
      <c r="B727" s="9" t="s">
        <v>226</v>
      </c>
      <c r="C727" s="12" t="s">
        <v>241</v>
      </c>
      <c r="D727" s="13">
        <v>600</v>
      </c>
      <c r="E727" s="10">
        <v>7812.3000000000011</v>
      </c>
      <c r="F727" s="10">
        <v>8382.2000000000007</v>
      </c>
      <c r="G727" s="10">
        <v>8382.2000000000007</v>
      </c>
    </row>
    <row r="728" spans="1:7" ht="141.75" outlineLevel="2" x14ac:dyDescent="0.25">
      <c r="A728" s="47" t="s">
        <v>607</v>
      </c>
      <c r="B728" s="9" t="s">
        <v>226</v>
      </c>
      <c r="C728" s="9" t="s">
        <v>608</v>
      </c>
      <c r="D728" s="9"/>
      <c r="E728" s="10">
        <f>E729</f>
        <v>190.3</v>
      </c>
      <c r="F728" s="10">
        <f t="shared" ref="F728:G728" si="257">F729</f>
        <v>190.3</v>
      </c>
      <c r="G728" s="10">
        <f t="shared" si="257"/>
        <v>190.3</v>
      </c>
    </row>
    <row r="729" spans="1:7" ht="47.25" outlineLevel="2" x14ac:dyDescent="0.25">
      <c r="A729" s="11" t="s">
        <v>94</v>
      </c>
      <c r="B729" s="9" t="s">
        <v>226</v>
      </c>
      <c r="C729" s="9" t="s">
        <v>608</v>
      </c>
      <c r="D729" s="9" t="s">
        <v>95</v>
      </c>
      <c r="E729" s="10">
        <v>190.3</v>
      </c>
      <c r="F729" s="10">
        <v>190.3</v>
      </c>
      <c r="G729" s="10">
        <v>190.3</v>
      </c>
    </row>
    <row r="730" spans="1:7" ht="157.5" outlineLevel="2" x14ac:dyDescent="0.25">
      <c r="A730" s="47" t="s">
        <v>243</v>
      </c>
      <c r="B730" s="9" t="s">
        <v>226</v>
      </c>
      <c r="C730" s="16" t="s">
        <v>244</v>
      </c>
      <c r="D730" s="1"/>
      <c r="E730" s="10">
        <f>E731</f>
        <v>8432</v>
      </c>
      <c r="F730" s="10">
        <f t="shared" ref="F730:G730" si="258">F731</f>
        <v>8630.1999999999989</v>
      </c>
      <c r="G730" s="10">
        <f t="shared" si="258"/>
        <v>8630.2000000000007</v>
      </c>
    </row>
    <row r="731" spans="1:7" ht="47.25" outlineLevel="2" x14ac:dyDescent="0.25">
      <c r="A731" s="11" t="s">
        <v>94</v>
      </c>
      <c r="B731" s="9" t="s">
        <v>226</v>
      </c>
      <c r="C731" s="16" t="s">
        <v>244</v>
      </c>
      <c r="D731" s="1">
        <v>600</v>
      </c>
      <c r="E731" s="10">
        <v>8432</v>
      </c>
      <c r="F731" s="10">
        <v>8630.1999999999989</v>
      </c>
      <c r="G731" s="10">
        <v>8630.2000000000007</v>
      </c>
    </row>
    <row r="732" spans="1:7" ht="94.5" outlineLevel="2" x14ac:dyDescent="0.25">
      <c r="A732" s="47" t="s">
        <v>245</v>
      </c>
      <c r="B732" s="9" t="s">
        <v>226</v>
      </c>
      <c r="C732" s="9" t="s">
        <v>246</v>
      </c>
      <c r="D732" s="5"/>
      <c r="E732" s="10">
        <f>E733</f>
        <v>0</v>
      </c>
      <c r="F732" s="10">
        <f t="shared" ref="F732:G732" si="259">F733</f>
        <v>198</v>
      </c>
      <c r="G732" s="10">
        <f t="shared" si="259"/>
        <v>198</v>
      </c>
    </row>
    <row r="733" spans="1:7" ht="47.25" outlineLevel="2" x14ac:dyDescent="0.25">
      <c r="A733" s="42" t="s">
        <v>94</v>
      </c>
      <c r="B733" s="9" t="s">
        <v>226</v>
      </c>
      <c r="C733" s="9" t="s">
        <v>246</v>
      </c>
      <c r="D733" s="5">
        <v>600</v>
      </c>
      <c r="E733" s="10">
        <f>198-198</f>
        <v>0</v>
      </c>
      <c r="F733" s="10">
        <v>198</v>
      </c>
      <c r="G733" s="10">
        <v>198</v>
      </c>
    </row>
    <row r="734" spans="1:7" ht="204.75" outlineLevel="2" x14ac:dyDescent="0.25">
      <c r="A734" s="47" t="s">
        <v>220</v>
      </c>
      <c r="B734" s="9" t="s">
        <v>226</v>
      </c>
      <c r="C734" s="9" t="s">
        <v>221</v>
      </c>
      <c r="D734" s="9"/>
      <c r="E734" s="10">
        <f>E735</f>
        <v>1778140.5</v>
      </c>
      <c r="F734" s="10">
        <f t="shared" ref="F734:G734" si="260">F735</f>
        <v>1919825.4</v>
      </c>
      <c r="G734" s="10">
        <f t="shared" si="260"/>
        <v>2128754.9</v>
      </c>
    </row>
    <row r="735" spans="1:7" ht="47.25" outlineLevel="2" x14ac:dyDescent="0.25">
      <c r="A735" s="11" t="s">
        <v>94</v>
      </c>
      <c r="B735" s="9" t="s">
        <v>226</v>
      </c>
      <c r="C735" s="9" t="s">
        <v>221</v>
      </c>
      <c r="D735" s="9" t="s">
        <v>95</v>
      </c>
      <c r="E735" s="10">
        <v>1778140.5</v>
      </c>
      <c r="F735" s="10">
        <v>1919825.4</v>
      </c>
      <c r="G735" s="10">
        <v>2128754.9</v>
      </c>
    </row>
    <row r="736" spans="1:7" ht="189" outlineLevel="2" x14ac:dyDescent="0.25">
      <c r="A736" s="47" t="s">
        <v>863</v>
      </c>
      <c r="B736" s="9" t="s">
        <v>226</v>
      </c>
      <c r="C736" s="9" t="s">
        <v>247</v>
      </c>
      <c r="D736" s="9"/>
      <c r="E736" s="10">
        <f>E737</f>
        <v>17083.699999999997</v>
      </c>
      <c r="F736" s="10">
        <f t="shared" ref="F736:G736" si="261">F737</f>
        <v>24894.600000000002</v>
      </c>
      <c r="G736" s="10">
        <f t="shared" si="261"/>
        <v>24894.600000000002</v>
      </c>
    </row>
    <row r="737" spans="1:7" ht="47.25" outlineLevel="2" x14ac:dyDescent="0.25">
      <c r="A737" s="11" t="s">
        <v>94</v>
      </c>
      <c r="B737" s="9" t="s">
        <v>226</v>
      </c>
      <c r="C737" s="9" t="s">
        <v>247</v>
      </c>
      <c r="D737" s="9" t="s">
        <v>95</v>
      </c>
      <c r="E737" s="10">
        <f>24899.8-7816.1</f>
        <v>17083.699999999997</v>
      </c>
      <c r="F737" s="10">
        <v>24894.600000000002</v>
      </c>
      <c r="G737" s="10">
        <v>24894.600000000002</v>
      </c>
    </row>
    <row r="738" spans="1:7" ht="141.75" outlineLevel="2" x14ac:dyDescent="0.25">
      <c r="A738" s="11" t="s">
        <v>265</v>
      </c>
      <c r="B738" s="9" t="s">
        <v>226</v>
      </c>
      <c r="C738" s="9" t="s">
        <v>266</v>
      </c>
      <c r="D738" s="9"/>
      <c r="E738" s="10">
        <f>E739</f>
        <v>1781.8</v>
      </c>
      <c r="F738" s="10">
        <f t="shared" ref="F738:G738" si="262">F739</f>
        <v>2005.8</v>
      </c>
      <c r="G738" s="10">
        <f t="shared" si="262"/>
        <v>1962.3</v>
      </c>
    </row>
    <row r="739" spans="1:7" ht="47.25" outlineLevel="2" x14ac:dyDescent="0.25">
      <c r="A739" s="11" t="s">
        <v>94</v>
      </c>
      <c r="B739" s="9" t="s">
        <v>226</v>
      </c>
      <c r="C739" s="9" t="s">
        <v>266</v>
      </c>
      <c r="D739" s="9" t="s">
        <v>95</v>
      </c>
      <c r="E739" s="10">
        <f>2162.6-380.8</f>
        <v>1781.8</v>
      </c>
      <c r="F739" s="10">
        <v>2005.8</v>
      </c>
      <c r="G739" s="10">
        <v>1962.3</v>
      </c>
    </row>
    <row r="740" spans="1:7" ht="204.75" outlineLevel="2" x14ac:dyDescent="0.25">
      <c r="A740" s="11" t="s">
        <v>609</v>
      </c>
      <c r="B740" s="9" t="s">
        <v>226</v>
      </c>
      <c r="C740" s="9" t="s">
        <v>610</v>
      </c>
      <c r="D740" s="9"/>
      <c r="E740" s="10">
        <f>E741</f>
        <v>4659.7</v>
      </c>
      <c r="F740" s="10">
        <f t="shared" ref="F740:G740" si="263">F741</f>
        <v>0</v>
      </c>
      <c r="G740" s="10">
        <f t="shared" si="263"/>
        <v>0</v>
      </c>
    </row>
    <row r="741" spans="1:7" ht="47.25" outlineLevel="2" x14ac:dyDescent="0.25">
      <c r="A741" s="11" t="s">
        <v>94</v>
      </c>
      <c r="B741" s="9" t="s">
        <v>226</v>
      </c>
      <c r="C741" s="9" t="s">
        <v>610</v>
      </c>
      <c r="D741" s="9" t="s">
        <v>95</v>
      </c>
      <c r="E741" s="10">
        <v>4659.7</v>
      </c>
      <c r="F741" s="10">
        <v>0</v>
      </c>
      <c r="G741" s="10">
        <v>0</v>
      </c>
    </row>
    <row r="742" spans="1:7" ht="63" outlineLevel="2" x14ac:dyDescent="0.25">
      <c r="A742" s="47" t="s">
        <v>486</v>
      </c>
      <c r="B742" s="9" t="s">
        <v>226</v>
      </c>
      <c r="C742" s="9" t="s">
        <v>222</v>
      </c>
      <c r="D742" s="5"/>
      <c r="E742" s="10">
        <f>E743+E747+E749+E751+E745</f>
        <v>8058.1</v>
      </c>
      <c r="F742" s="10">
        <f t="shared" ref="F742:G742" si="264">F743+F747+F749+F751</f>
        <v>6813.1</v>
      </c>
      <c r="G742" s="10">
        <f t="shared" si="264"/>
        <v>6813.1</v>
      </c>
    </row>
    <row r="743" spans="1:7" ht="31.5" outlineLevel="2" x14ac:dyDescent="0.25">
      <c r="A743" s="50" t="s">
        <v>248</v>
      </c>
      <c r="B743" s="12" t="s">
        <v>226</v>
      </c>
      <c r="C743" s="12" t="s">
        <v>249</v>
      </c>
      <c r="D743" s="13"/>
      <c r="E743" s="10">
        <f>E744</f>
        <v>1393.1000000000001</v>
      </c>
      <c r="F743" s="10">
        <f t="shared" ref="F743:G743" si="265">F744</f>
        <v>813.7</v>
      </c>
      <c r="G743" s="10">
        <f t="shared" si="265"/>
        <v>813.7</v>
      </c>
    </row>
    <row r="744" spans="1:7" ht="47.25" outlineLevel="2" x14ac:dyDescent="0.25">
      <c r="A744" s="11" t="s">
        <v>94</v>
      </c>
      <c r="B744" s="12" t="s">
        <v>226</v>
      </c>
      <c r="C744" s="12" t="s">
        <v>249</v>
      </c>
      <c r="D744" s="13">
        <v>600</v>
      </c>
      <c r="E744" s="10">
        <f>1432.2-39.1</f>
        <v>1393.1000000000001</v>
      </c>
      <c r="F744" s="10">
        <v>813.7</v>
      </c>
      <c r="G744" s="10">
        <v>813.7</v>
      </c>
    </row>
    <row r="745" spans="1:7" ht="31.5" outlineLevel="2" x14ac:dyDescent="0.25">
      <c r="A745" s="47" t="s">
        <v>278</v>
      </c>
      <c r="B745" s="9" t="s">
        <v>226</v>
      </c>
      <c r="C745" s="9" t="s">
        <v>279</v>
      </c>
      <c r="D745" s="9"/>
      <c r="E745" s="10">
        <f>E746</f>
        <v>681.1</v>
      </c>
      <c r="F745" s="10">
        <f t="shared" ref="F745:G745" si="266">F746</f>
        <v>0</v>
      </c>
      <c r="G745" s="10">
        <f t="shared" si="266"/>
        <v>0</v>
      </c>
    </row>
    <row r="746" spans="1:7" ht="47.25" outlineLevel="2" x14ac:dyDescent="0.25">
      <c r="A746" s="11" t="s">
        <v>94</v>
      </c>
      <c r="B746" s="9" t="s">
        <v>226</v>
      </c>
      <c r="C746" s="9" t="s">
        <v>279</v>
      </c>
      <c r="D746" s="9">
        <v>600</v>
      </c>
      <c r="E746" s="10">
        <v>681.1</v>
      </c>
      <c r="F746" s="10">
        <v>0</v>
      </c>
      <c r="G746" s="10">
        <v>0</v>
      </c>
    </row>
    <row r="747" spans="1:7" ht="47.25" outlineLevel="2" x14ac:dyDescent="0.25">
      <c r="A747" s="46" t="s">
        <v>250</v>
      </c>
      <c r="B747" s="9" t="s">
        <v>226</v>
      </c>
      <c r="C747" s="12" t="s">
        <v>251</v>
      </c>
      <c r="D747" s="26"/>
      <c r="E747" s="10">
        <f>E748</f>
        <v>1010</v>
      </c>
      <c r="F747" s="10">
        <f t="shared" ref="F747:G747" si="267">F748</f>
        <v>660</v>
      </c>
      <c r="G747" s="10">
        <f t="shared" si="267"/>
        <v>660</v>
      </c>
    </row>
    <row r="748" spans="1:7" ht="47.25" outlineLevel="2" x14ac:dyDescent="0.25">
      <c r="A748" s="11" t="s">
        <v>94</v>
      </c>
      <c r="B748" s="9" t="s">
        <v>226</v>
      </c>
      <c r="C748" s="12" t="s">
        <v>251</v>
      </c>
      <c r="D748" s="13">
        <v>600</v>
      </c>
      <c r="E748" s="10">
        <v>1010</v>
      </c>
      <c r="F748" s="10">
        <v>660</v>
      </c>
      <c r="G748" s="10">
        <v>660</v>
      </c>
    </row>
    <row r="749" spans="1:7" ht="47.25" outlineLevel="2" x14ac:dyDescent="0.25">
      <c r="A749" s="46" t="s">
        <v>252</v>
      </c>
      <c r="B749" s="12" t="s">
        <v>226</v>
      </c>
      <c r="C749" s="12" t="s">
        <v>224</v>
      </c>
      <c r="D749" s="13"/>
      <c r="E749" s="10">
        <f>E750</f>
        <v>4364</v>
      </c>
      <c r="F749" s="10">
        <f t="shared" ref="F749:G749" si="268">F750</f>
        <v>2539.4</v>
      </c>
      <c r="G749" s="10">
        <f t="shared" si="268"/>
        <v>2539.4</v>
      </c>
    </row>
    <row r="750" spans="1:7" ht="47.25" outlineLevel="2" x14ac:dyDescent="0.25">
      <c r="A750" s="11" t="s">
        <v>94</v>
      </c>
      <c r="B750" s="12" t="s">
        <v>226</v>
      </c>
      <c r="C750" s="12" t="s">
        <v>224</v>
      </c>
      <c r="D750" s="13">
        <v>600</v>
      </c>
      <c r="E750" s="10">
        <f>3364+1000</f>
        <v>4364</v>
      </c>
      <c r="F750" s="10">
        <v>2539.4</v>
      </c>
      <c r="G750" s="10">
        <v>2539.4</v>
      </c>
    </row>
    <row r="751" spans="1:7" ht="126" outlineLevel="2" x14ac:dyDescent="0.25">
      <c r="A751" s="47" t="s">
        <v>253</v>
      </c>
      <c r="B751" s="12" t="s">
        <v>226</v>
      </c>
      <c r="C751" s="12" t="s">
        <v>254</v>
      </c>
      <c r="D751" s="13"/>
      <c r="E751" s="10">
        <f>E752</f>
        <v>609.90000000000009</v>
      </c>
      <c r="F751" s="10">
        <f t="shared" ref="F751:G751" si="269">F752</f>
        <v>2800</v>
      </c>
      <c r="G751" s="10">
        <f t="shared" si="269"/>
        <v>2800</v>
      </c>
    </row>
    <row r="752" spans="1:7" ht="31.5" outlineLevel="2" x14ac:dyDescent="0.25">
      <c r="A752" s="11" t="s">
        <v>20</v>
      </c>
      <c r="B752" s="12" t="s">
        <v>226</v>
      </c>
      <c r="C752" s="12" t="s">
        <v>254</v>
      </c>
      <c r="D752" s="13">
        <v>300</v>
      </c>
      <c r="E752" s="10">
        <v>609.90000000000009</v>
      </c>
      <c r="F752" s="10">
        <v>2800</v>
      </c>
      <c r="G752" s="10">
        <v>2800</v>
      </c>
    </row>
    <row r="753" spans="1:7" outlineLevel="1" x14ac:dyDescent="0.25">
      <c r="A753" s="11" t="s">
        <v>255</v>
      </c>
      <c r="B753" s="12" t="s">
        <v>256</v>
      </c>
      <c r="C753" s="12"/>
      <c r="D753" s="13"/>
      <c r="E753" s="10">
        <f>E754+E771</f>
        <v>528178.49999999988</v>
      </c>
      <c r="F753" s="10">
        <f t="shared" ref="F753:G753" si="270">F754+F771</f>
        <v>491860.8</v>
      </c>
      <c r="G753" s="10">
        <f t="shared" si="270"/>
        <v>509749.5</v>
      </c>
    </row>
    <row r="754" spans="1:7" ht="31.5" outlineLevel="2" x14ac:dyDescent="0.25">
      <c r="A754" s="11" t="s">
        <v>208</v>
      </c>
      <c r="B754" s="9" t="s">
        <v>256</v>
      </c>
      <c r="C754" s="9" t="s">
        <v>209</v>
      </c>
      <c r="D754" s="27"/>
      <c r="E754" s="10">
        <f>E759+E755</f>
        <v>316571.79999999993</v>
      </c>
      <c r="F754" s="10">
        <f t="shared" ref="F754:G754" si="271">F759+F755</f>
        <v>293286.5</v>
      </c>
      <c r="G754" s="10">
        <f t="shared" si="271"/>
        <v>301110.3</v>
      </c>
    </row>
    <row r="755" spans="1:7" ht="31.5" outlineLevel="2" x14ac:dyDescent="0.25">
      <c r="A755" s="11" t="s">
        <v>154</v>
      </c>
      <c r="B755" s="9" t="s">
        <v>256</v>
      </c>
      <c r="C755" s="9" t="s">
        <v>210</v>
      </c>
      <c r="D755" s="9"/>
      <c r="E755" s="10">
        <f>E756</f>
        <v>24262</v>
      </c>
      <c r="F755" s="10">
        <f t="shared" ref="F755:G757" si="272">F756</f>
        <v>0</v>
      </c>
      <c r="G755" s="10">
        <f t="shared" si="272"/>
        <v>0</v>
      </c>
    </row>
    <row r="756" spans="1:7" ht="47.25" outlineLevel="2" x14ac:dyDescent="0.25">
      <c r="A756" s="43" t="s">
        <v>211</v>
      </c>
      <c r="B756" s="9" t="s">
        <v>256</v>
      </c>
      <c r="C756" s="9" t="s">
        <v>212</v>
      </c>
      <c r="D756" s="9"/>
      <c r="E756" s="10">
        <f>E757</f>
        <v>24262</v>
      </c>
      <c r="F756" s="10">
        <f t="shared" si="272"/>
        <v>0</v>
      </c>
      <c r="G756" s="10">
        <f t="shared" si="272"/>
        <v>0</v>
      </c>
    </row>
    <row r="757" spans="1:7" ht="78.75" outlineLevel="2" x14ac:dyDescent="0.25">
      <c r="A757" s="11" t="s">
        <v>726</v>
      </c>
      <c r="B757" s="9" t="s">
        <v>256</v>
      </c>
      <c r="C757" s="9" t="s">
        <v>727</v>
      </c>
      <c r="D757" s="9"/>
      <c r="E757" s="10">
        <f>E758</f>
        <v>24262</v>
      </c>
      <c r="F757" s="10">
        <f t="shared" si="272"/>
        <v>0</v>
      </c>
      <c r="G757" s="10">
        <f t="shared" si="272"/>
        <v>0</v>
      </c>
    </row>
    <row r="758" spans="1:7" ht="47.25" outlineLevel="2" x14ac:dyDescent="0.25">
      <c r="A758" s="11" t="s">
        <v>94</v>
      </c>
      <c r="B758" s="9" t="s">
        <v>256</v>
      </c>
      <c r="C758" s="9" t="s">
        <v>727</v>
      </c>
      <c r="D758" s="9" t="s">
        <v>95</v>
      </c>
      <c r="E758" s="10">
        <v>24262</v>
      </c>
      <c r="F758" s="10">
        <v>0</v>
      </c>
      <c r="G758" s="10">
        <v>0</v>
      </c>
    </row>
    <row r="759" spans="1:7" outlineLevel="2" x14ac:dyDescent="0.25">
      <c r="A759" s="11" t="s">
        <v>144</v>
      </c>
      <c r="B759" s="9" t="s">
        <v>256</v>
      </c>
      <c r="C759" s="9" t="s">
        <v>215</v>
      </c>
      <c r="D759" s="27"/>
      <c r="E759" s="10">
        <f>E760+E768</f>
        <v>292309.79999999993</v>
      </c>
      <c r="F759" s="10">
        <f t="shared" ref="F759:G759" si="273">F760+F768</f>
        <v>293286.5</v>
      </c>
      <c r="G759" s="10">
        <f t="shared" si="273"/>
        <v>301110.3</v>
      </c>
    </row>
    <row r="760" spans="1:7" ht="63" outlineLevel="2" x14ac:dyDescent="0.25">
      <c r="A760" s="47" t="s">
        <v>492</v>
      </c>
      <c r="B760" s="9" t="s">
        <v>256</v>
      </c>
      <c r="C760" s="9" t="s">
        <v>216</v>
      </c>
      <c r="D760" s="27"/>
      <c r="E760" s="10">
        <f>E761+E763+E766</f>
        <v>292244.69999999995</v>
      </c>
      <c r="F760" s="10">
        <f t="shared" ref="F760:G760" si="274">F761+F763+F766</f>
        <v>293286.5</v>
      </c>
      <c r="G760" s="10">
        <f t="shared" si="274"/>
        <v>301110.3</v>
      </c>
    </row>
    <row r="761" spans="1:7" ht="47.25" outlineLevel="2" x14ac:dyDescent="0.25">
      <c r="A761" s="40" t="s">
        <v>150</v>
      </c>
      <c r="B761" s="9" t="s">
        <v>256</v>
      </c>
      <c r="C761" s="9" t="s">
        <v>217</v>
      </c>
      <c r="D761" s="5"/>
      <c r="E761" s="10">
        <f>E762</f>
        <v>183441.6</v>
      </c>
      <c r="F761" s="10">
        <f t="shared" ref="F761:G761" si="275">F762</f>
        <v>179767.8</v>
      </c>
      <c r="G761" s="10">
        <f t="shared" si="275"/>
        <v>187417.2</v>
      </c>
    </row>
    <row r="762" spans="1:7" ht="47.25" outlineLevel="2" x14ac:dyDescent="0.25">
      <c r="A762" s="11" t="s">
        <v>94</v>
      </c>
      <c r="B762" s="9" t="s">
        <v>256</v>
      </c>
      <c r="C762" s="9" t="s">
        <v>217</v>
      </c>
      <c r="D762" s="5">
        <v>600</v>
      </c>
      <c r="E762" s="10">
        <f>185485.7-2308.9+264.8</f>
        <v>183441.6</v>
      </c>
      <c r="F762" s="10">
        <v>179767.8</v>
      </c>
      <c r="G762" s="10">
        <v>187417.2</v>
      </c>
    </row>
    <row r="763" spans="1:7" ht="47.25" outlineLevel="2" x14ac:dyDescent="0.25">
      <c r="A763" s="47" t="s">
        <v>257</v>
      </c>
      <c r="B763" s="9" t="s">
        <v>256</v>
      </c>
      <c r="C763" s="9" t="s">
        <v>258</v>
      </c>
      <c r="D763" s="5"/>
      <c r="E763" s="10">
        <f>E764+E765</f>
        <v>108483</v>
      </c>
      <c r="F763" s="10">
        <f t="shared" ref="F763:G763" si="276">F764+F765</f>
        <v>113198.6</v>
      </c>
      <c r="G763" s="10">
        <f t="shared" si="276"/>
        <v>113373</v>
      </c>
    </row>
    <row r="764" spans="1:7" ht="47.25" outlineLevel="2" x14ac:dyDescent="0.25">
      <c r="A764" s="11" t="s">
        <v>94</v>
      </c>
      <c r="B764" s="9" t="s">
        <v>256</v>
      </c>
      <c r="C764" s="9" t="s">
        <v>258</v>
      </c>
      <c r="D764" s="5">
        <v>600</v>
      </c>
      <c r="E764" s="10">
        <f>104843-1200</f>
        <v>103643</v>
      </c>
      <c r="F764" s="10">
        <v>107088.6</v>
      </c>
      <c r="G764" s="10">
        <v>107263</v>
      </c>
    </row>
    <row r="765" spans="1:7" outlineLevel="2" x14ac:dyDescent="0.25">
      <c r="A765" s="42" t="s">
        <v>33</v>
      </c>
      <c r="B765" s="9" t="s">
        <v>256</v>
      </c>
      <c r="C765" s="9" t="s">
        <v>258</v>
      </c>
      <c r="D765" s="5">
        <v>800</v>
      </c>
      <c r="E765" s="10">
        <f>3640+1200</f>
        <v>4840</v>
      </c>
      <c r="F765" s="10">
        <v>6110</v>
      </c>
      <c r="G765" s="10">
        <v>6110</v>
      </c>
    </row>
    <row r="766" spans="1:7" ht="126" outlineLevel="2" x14ac:dyDescent="0.25">
      <c r="A766" s="47" t="s">
        <v>259</v>
      </c>
      <c r="B766" s="9" t="s">
        <v>256</v>
      </c>
      <c r="C766" s="9" t="s">
        <v>260</v>
      </c>
      <c r="D766" s="5"/>
      <c r="E766" s="10">
        <f>E767</f>
        <v>320.10000000000002</v>
      </c>
      <c r="F766" s="10">
        <f t="shared" ref="F766:G766" si="277">F767</f>
        <v>320.10000000000002</v>
      </c>
      <c r="G766" s="10">
        <f t="shared" si="277"/>
        <v>320.10000000000002</v>
      </c>
    </row>
    <row r="767" spans="1:7" ht="47.25" outlineLevel="2" x14ac:dyDescent="0.25">
      <c r="A767" s="11" t="s">
        <v>94</v>
      </c>
      <c r="B767" s="9" t="s">
        <v>256</v>
      </c>
      <c r="C767" s="9" t="s">
        <v>260</v>
      </c>
      <c r="D767" s="5">
        <v>600</v>
      </c>
      <c r="E767" s="10">
        <v>320.10000000000002</v>
      </c>
      <c r="F767" s="10">
        <v>320.10000000000002</v>
      </c>
      <c r="G767" s="10">
        <v>320.10000000000002</v>
      </c>
    </row>
    <row r="768" spans="1:7" ht="63" outlineLevel="2" x14ac:dyDescent="0.25">
      <c r="A768" s="43" t="s">
        <v>486</v>
      </c>
      <c r="B768" s="9" t="s">
        <v>256</v>
      </c>
      <c r="C768" s="9" t="s">
        <v>222</v>
      </c>
      <c r="D768" s="9"/>
      <c r="E768" s="10">
        <f>E769</f>
        <v>65.099999999999994</v>
      </c>
      <c r="F768" s="10">
        <f t="shared" ref="F768:G769" si="278">F769</f>
        <v>0</v>
      </c>
      <c r="G768" s="10">
        <f t="shared" si="278"/>
        <v>0</v>
      </c>
    </row>
    <row r="769" spans="1:7" ht="31.5" outlineLevel="2" x14ac:dyDescent="0.25">
      <c r="A769" s="40" t="s">
        <v>248</v>
      </c>
      <c r="B769" s="9" t="s">
        <v>256</v>
      </c>
      <c r="C769" s="9" t="s">
        <v>249</v>
      </c>
      <c r="D769" s="9"/>
      <c r="E769" s="10">
        <f>E770</f>
        <v>65.099999999999994</v>
      </c>
      <c r="F769" s="10">
        <f t="shared" si="278"/>
        <v>0</v>
      </c>
      <c r="G769" s="10">
        <f t="shared" si="278"/>
        <v>0</v>
      </c>
    </row>
    <row r="770" spans="1:7" ht="47.25" outlineLevel="2" x14ac:dyDescent="0.25">
      <c r="A770" s="11" t="s">
        <v>94</v>
      </c>
      <c r="B770" s="9" t="s">
        <v>256</v>
      </c>
      <c r="C770" s="9" t="s">
        <v>249</v>
      </c>
      <c r="D770" s="9">
        <v>600</v>
      </c>
      <c r="E770" s="10">
        <v>65.099999999999994</v>
      </c>
      <c r="F770" s="10">
        <v>0</v>
      </c>
      <c r="G770" s="10">
        <v>0</v>
      </c>
    </row>
    <row r="771" spans="1:7" ht="31.5" outlineLevel="2" x14ac:dyDescent="0.25">
      <c r="A771" s="11" t="s">
        <v>152</v>
      </c>
      <c r="B771" s="16" t="s">
        <v>256</v>
      </c>
      <c r="C771" s="16" t="s">
        <v>96</v>
      </c>
      <c r="D771" s="1"/>
      <c r="E771" s="10">
        <f t="shared" ref="E771:G774" si="279">E772</f>
        <v>211606.69999999998</v>
      </c>
      <c r="F771" s="10">
        <f t="shared" si="279"/>
        <v>198574.3</v>
      </c>
      <c r="G771" s="10">
        <f t="shared" si="279"/>
        <v>208639.2</v>
      </c>
    </row>
    <row r="772" spans="1:7" outlineLevel="2" x14ac:dyDescent="0.25">
      <c r="A772" s="11" t="s">
        <v>144</v>
      </c>
      <c r="B772" s="16" t="s">
        <v>256</v>
      </c>
      <c r="C772" s="16" t="s">
        <v>107</v>
      </c>
      <c r="D772" s="1"/>
      <c r="E772" s="10">
        <f t="shared" si="279"/>
        <v>211606.69999999998</v>
      </c>
      <c r="F772" s="10">
        <f t="shared" si="279"/>
        <v>198574.3</v>
      </c>
      <c r="G772" s="10">
        <f t="shared" si="279"/>
        <v>208639.2</v>
      </c>
    </row>
    <row r="773" spans="1:7" ht="78.75" outlineLevel="2" x14ac:dyDescent="0.25">
      <c r="A773" s="11" t="s">
        <v>153</v>
      </c>
      <c r="B773" s="16" t="s">
        <v>256</v>
      </c>
      <c r="C773" s="16" t="s">
        <v>108</v>
      </c>
      <c r="D773" s="16"/>
      <c r="E773" s="10">
        <f t="shared" si="279"/>
        <v>211606.69999999998</v>
      </c>
      <c r="F773" s="10">
        <f t="shared" si="279"/>
        <v>198574.3</v>
      </c>
      <c r="G773" s="10">
        <f t="shared" si="279"/>
        <v>208639.2</v>
      </c>
    </row>
    <row r="774" spans="1:7" ht="47.25" outlineLevel="2" x14ac:dyDescent="0.25">
      <c r="A774" s="11" t="s">
        <v>150</v>
      </c>
      <c r="B774" s="16" t="s">
        <v>256</v>
      </c>
      <c r="C774" s="16" t="s">
        <v>109</v>
      </c>
      <c r="D774" s="16"/>
      <c r="E774" s="10">
        <f t="shared" si="279"/>
        <v>211606.69999999998</v>
      </c>
      <c r="F774" s="10">
        <f t="shared" si="279"/>
        <v>198574.3</v>
      </c>
      <c r="G774" s="10">
        <f t="shared" si="279"/>
        <v>208639.2</v>
      </c>
    </row>
    <row r="775" spans="1:7" ht="47.25" outlineLevel="2" x14ac:dyDescent="0.25">
      <c r="A775" s="11" t="s">
        <v>94</v>
      </c>
      <c r="B775" s="16" t="s">
        <v>256</v>
      </c>
      <c r="C775" s="16" t="s">
        <v>109</v>
      </c>
      <c r="D775" s="16" t="s">
        <v>95</v>
      </c>
      <c r="E775" s="10">
        <f>197068.4-185+13215.8+1507.5</f>
        <v>211606.69999999998</v>
      </c>
      <c r="F775" s="10">
        <v>198574.3</v>
      </c>
      <c r="G775" s="10">
        <v>208639.2</v>
      </c>
    </row>
    <row r="776" spans="1:7" outlineLevel="1" x14ac:dyDescent="0.25">
      <c r="A776" s="42" t="s">
        <v>99</v>
      </c>
      <c r="B776" s="9" t="s">
        <v>100</v>
      </c>
      <c r="C776" s="9"/>
      <c r="D776" s="9"/>
      <c r="E776" s="10">
        <f>E777</f>
        <v>193507.09999999998</v>
      </c>
      <c r="F776" s="10">
        <f t="shared" ref="F776:G776" si="280">F777</f>
        <v>47622.600000000006</v>
      </c>
      <c r="G776" s="10">
        <f t="shared" si="280"/>
        <v>48948.6</v>
      </c>
    </row>
    <row r="777" spans="1:7" ht="31.5" outlineLevel="2" x14ac:dyDescent="0.25">
      <c r="A777" s="42" t="s">
        <v>101</v>
      </c>
      <c r="B777" s="9" t="s">
        <v>100</v>
      </c>
      <c r="C777" s="9" t="s">
        <v>102</v>
      </c>
      <c r="D777" s="9"/>
      <c r="E777" s="10">
        <f>E782+E786+E778</f>
        <v>193507.09999999998</v>
      </c>
      <c r="F777" s="10">
        <f t="shared" ref="F777:G777" si="281">F782+F786+F778</f>
        <v>47622.600000000006</v>
      </c>
      <c r="G777" s="10">
        <f t="shared" si="281"/>
        <v>48948.6</v>
      </c>
    </row>
    <row r="778" spans="1:7" outlineLevel="2" x14ac:dyDescent="0.25">
      <c r="A778" s="56" t="s">
        <v>227</v>
      </c>
      <c r="B778" s="9" t="s">
        <v>100</v>
      </c>
      <c r="C778" s="9" t="s">
        <v>544</v>
      </c>
      <c r="D778" s="9"/>
      <c r="E778" s="10">
        <f>E779</f>
        <v>127580.8</v>
      </c>
      <c r="F778" s="10">
        <f t="shared" ref="F778:G780" si="282">F779</f>
        <v>0</v>
      </c>
      <c r="G778" s="10">
        <f t="shared" si="282"/>
        <v>0</v>
      </c>
    </row>
    <row r="779" spans="1:7" ht="31.5" outlineLevel="2" x14ac:dyDescent="0.25">
      <c r="A779" s="56" t="s">
        <v>542</v>
      </c>
      <c r="B779" s="9" t="s">
        <v>100</v>
      </c>
      <c r="C779" s="9" t="s">
        <v>545</v>
      </c>
      <c r="D779" s="9"/>
      <c r="E779" s="10">
        <f t="shared" ref="E779:E780" si="283">E780</f>
        <v>127580.8</v>
      </c>
      <c r="F779" s="10">
        <f t="shared" si="282"/>
        <v>0</v>
      </c>
      <c r="G779" s="10">
        <f t="shared" si="282"/>
        <v>0</v>
      </c>
    </row>
    <row r="780" spans="1:7" ht="47.25" outlineLevel="2" x14ac:dyDescent="0.25">
      <c r="A780" s="56" t="s">
        <v>543</v>
      </c>
      <c r="B780" s="9" t="s">
        <v>100</v>
      </c>
      <c r="C780" s="9" t="s">
        <v>546</v>
      </c>
      <c r="D780" s="9"/>
      <c r="E780" s="10">
        <f t="shared" si="283"/>
        <v>127580.8</v>
      </c>
      <c r="F780" s="10">
        <f t="shared" si="282"/>
        <v>0</v>
      </c>
      <c r="G780" s="10">
        <f t="shared" si="282"/>
        <v>0</v>
      </c>
    </row>
    <row r="781" spans="1:7" ht="47.25" outlineLevel="2" x14ac:dyDescent="0.25">
      <c r="A781" s="42" t="s">
        <v>94</v>
      </c>
      <c r="B781" s="9" t="s">
        <v>100</v>
      </c>
      <c r="C781" s="9" t="s">
        <v>546</v>
      </c>
      <c r="D781" s="9" t="s">
        <v>95</v>
      </c>
      <c r="E781" s="10">
        <v>127580.8</v>
      </c>
      <c r="F781" s="10">
        <v>0</v>
      </c>
      <c r="G781" s="10">
        <v>0</v>
      </c>
    </row>
    <row r="782" spans="1:7" ht="31.5" outlineLevel="2" x14ac:dyDescent="0.25">
      <c r="A782" s="42" t="s">
        <v>154</v>
      </c>
      <c r="B782" s="9" t="s">
        <v>100</v>
      </c>
      <c r="C782" s="9" t="s">
        <v>171</v>
      </c>
      <c r="D782" s="5"/>
      <c r="E782" s="10">
        <f>E783</f>
        <v>199.2</v>
      </c>
      <c r="F782" s="10">
        <f t="shared" ref="F782:G784" si="284">F783</f>
        <v>294.39999999999998</v>
      </c>
      <c r="G782" s="10">
        <f t="shared" si="284"/>
        <v>294.39999999999998</v>
      </c>
    </row>
    <row r="783" spans="1:7" ht="31.5" outlineLevel="2" x14ac:dyDescent="0.25">
      <c r="A783" s="42" t="s">
        <v>172</v>
      </c>
      <c r="B783" s="9" t="s">
        <v>100</v>
      </c>
      <c r="C783" s="9" t="s">
        <v>173</v>
      </c>
      <c r="D783" s="5"/>
      <c r="E783" s="10">
        <f>E784</f>
        <v>199.2</v>
      </c>
      <c r="F783" s="10">
        <f t="shared" si="284"/>
        <v>294.39999999999998</v>
      </c>
      <c r="G783" s="10">
        <f t="shared" si="284"/>
        <v>294.39999999999998</v>
      </c>
    </row>
    <row r="784" spans="1:7" ht="63" outlineLevel="2" x14ac:dyDescent="0.25">
      <c r="A784" s="42" t="s">
        <v>174</v>
      </c>
      <c r="B784" s="9" t="s">
        <v>100</v>
      </c>
      <c r="C784" s="9" t="s">
        <v>484</v>
      </c>
      <c r="D784" s="5"/>
      <c r="E784" s="10">
        <f>E785</f>
        <v>199.2</v>
      </c>
      <c r="F784" s="10">
        <f t="shared" si="284"/>
        <v>294.39999999999998</v>
      </c>
      <c r="G784" s="10">
        <f t="shared" si="284"/>
        <v>294.39999999999998</v>
      </c>
    </row>
    <row r="785" spans="1:7" ht="47.25" outlineLevel="2" x14ac:dyDescent="0.25">
      <c r="A785" s="42" t="s">
        <v>94</v>
      </c>
      <c r="B785" s="9" t="s">
        <v>100</v>
      </c>
      <c r="C785" s="9" t="s">
        <v>484</v>
      </c>
      <c r="D785" s="5">
        <v>600</v>
      </c>
      <c r="E785" s="10">
        <f>499.2-150-150</f>
        <v>199.2</v>
      </c>
      <c r="F785" s="10">
        <v>294.39999999999998</v>
      </c>
      <c r="G785" s="10">
        <v>294.39999999999998</v>
      </c>
    </row>
    <row r="786" spans="1:7" outlineLevel="2" x14ac:dyDescent="0.25">
      <c r="A786" s="42" t="s">
        <v>144</v>
      </c>
      <c r="B786" s="9" t="s">
        <v>100</v>
      </c>
      <c r="C786" s="9" t="s">
        <v>175</v>
      </c>
      <c r="D786" s="5"/>
      <c r="E786" s="10">
        <f>E787</f>
        <v>65727.099999999991</v>
      </c>
      <c r="F786" s="10">
        <f t="shared" ref="F786:G786" si="285">F787</f>
        <v>47328.200000000004</v>
      </c>
      <c r="G786" s="10">
        <f t="shared" si="285"/>
        <v>48654.2</v>
      </c>
    </row>
    <row r="787" spans="1:7" ht="78.75" outlineLevel="2" x14ac:dyDescent="0.25">
      <c r="A787" s="42" t="s">
        <v>176</v>
      </c>
      <c r="B787" s="9" t="s">
        <v>100</v>
      </c>
      <c r="C787" s="9" t="s">
        <v>177</v>
      </c>
      <c r="D787" s="5"/>
      <c r="E787" s="10">
        <f>E788+E790+E792</f>
        <v>65727.099999999991</v>
      </c>
      <c r="F787" s="10">
        <f t="shared" ref="F787:G787" si="286">F788+F790+F792</f>
        <v>47328.200000000004</v>
      </c>
      <c r="G787" s="10">
        <f t="shared" si="286"/>
        <v>48654.2</v>
      </c>
    </row>
    <row r="788" spans="1:7" ht="31.5" outlineLevel="2" x14ac:dyDescent="0.25">
      <c r="A788" s="42" t="s">
        <v>178</v>
      </c>
      <c r="B788" s="9" t="s">
        <v>100</v>
      </c>
      <c r="C788" s="9" t="s">
        <v>179</v>
      </c>
      <c r="D788" s="5"/>
      <c r="E788" s="10">
        <f>E789</f>
        <v>3837.4</v>
      </c>
      <c r="F788" s="10">
        <f t="shared" ref="F788:G788" si="287">F789</f>
        <v>3000</v>
      </c>
      <c r="G788" s="10">
        <f t="shared" si="287"/>
        <v>3000</v>
      </c>
    </row>
    <row r="789" spans="1:7" ht="31.5" outlineLevel="2" x14ac:dyDescent="0.25">
      <c r="A789" s="42" t="s">
        <v>76</v>
      </c>
      <c r="B789" s="9" t="s">
        <v>100</v>
      </c>
      <c r="C789" s="9" t="s">
        <v>179</v>
      </c>
      <c r="D789" s="5">
        <v>200</v>
      </c>
      <c r="E789" s="10">
        <f>3714.6+122.8</f>
        <v>3837.4</v>
      </c>
      <c r="F789" s="10">
        <v>3000</v>
      </c>
      <c r="G789" s="10">
        <v>3000</v>
      </c>
    </row>
    <row r="790" spans="1:7" ht="31.5" outlineLevel="2" x14ac:dyDescent="0.25">
      <c r="A790" s="52" t="s">
        <v>180</v>
      </c>
      <c r="B790" s="9" t="s">
        <v>100</v>
      </c>
      <c r="C790" s="9" t="s">
        <v>181</v>
      </c>
      <c r="D790" s="5"/>
      <c r="E790" s="10">
        <f>E791</f>
        <v>601.9</v>
      </c>
      <c r="F790" s="10">
        <f t="shared" ref="F790:G790" si="288">F791</f>
        <v>600</v>
      </c>
      <c r="G790" s="10">
        <f t="shared" si="288"/>
        <v>600</v>
      </c>
    </row>
    <row r="791" spans="1:7" ht="31.5" outlineLevel="2" x14ac:dyDescent="0.25">
      <c r="A791" s="42" t="s">
        <v>20</v>
      </c>
      <c r="B791" s="9" t="s">
        <v>100</v>
      </c>
      <c r="C791" s="9" t="s">
        <v>181</v>
      </c>
      <c r="D791" s="5">
        <v>300</v>
      </c>
      <c r="E791" s="10">
        <f>750-148.1</f>
        <v>601.9</v>
      </c>
      <c r="F791" s="10">
        <v>600</v>
      </c>
      <c r="G791" s="10">
        <v>600</v>
      </c>
    </row>
    <row r="792" spans="1:7" ht="47.25" outlineLevel="2" x14ac:dyDescent="0.25">
      <c r="A792" s="42" t="s">
        <v>182</v>
      </c>
      <c r="B792" s="9" t="s">
        <v>100</v>
      </c>
      <c r="C792" s="9" t="s">
        <v>183</v>
      </c>
      <c r="D792" s="5"/>
      <c r="E792" s="10">
        <f>E793</f>
        <v>61287.799999999996</v>
      </c>
      <c r="F792" s="10">
        <f t="shared" ref="F792:G792" si="289">F793</f>
        <v>43728.200000000004</v>
      </c>
      <c r="G792" s="10">
        <f t="shared" si="289"/>
        <v>45054.2</v>
      </c>
    </row>
    <row r="793" spans="1:7" ht="47.25" outlineLevel="2" x14ac:dyDescent="0.25">
      <c r="A793" s="42" t="s">
        <v>94</v>
      </c>
      <c r="B793" s="9" t="s">
        <v>100</v>
      </c>
      <c r="C793" s="9" t="s">
        <v>183</v>
      </c>
      <c r="D793" s="5">
        <v>600</v>
      </c>
      <c r="E793" s="10">
        <f>57730.6+132.2+150+175.3+3099.7</f>
        <v>61287.799999999996</v>
      </c>
      <c r="F793" s="10">
        <v>43728.200000000004</v>
      </c>
      <c r="G793" s="10">
        <v>45054.2</v>
      </c>
    </row>
    <row r="794" spans="1:7" outlineLevel="1" collapsed="1" x14ac:dyDescent="0.25">
      <c r="A794" s="11" t="s">
        <v>261</v>
      </c>
      <c r="B794" s="9" t="s">
        <v>262</v>
      </c>
      <c r="C794" s="28"/>
      <c r="D794" s="5"/>
      <c r="E794" s="10">
        <f>E795</f>
        <v>246423.8</v>
      </c>
      <c r="F794" s="10">
        <f t="shared" ref="F794:G795" si="290">F795</f>
        <v>208715.89999999997</v>
      </c>
      <c r="G794" s="10">
        <f t="shared" si="290"/>
        <v>213457.4</v>
      </c>
    </row>
    <row r="795" spans="1:7" ht="31.5" outlineLevel="1" x14ac:dyDescent="0.25">
      <c r="A795" s="11" t="s">
        <v>208</v>
      </c>
      <c r="B795" s="9" t="s">
        <v>262</v>
      </c>
      <c r="C795" s="9" t="s">
        <v>209</v>
      </c>
      <c r="D795" s="5"/>
      <c r="E795" s="10">
        <f>E796</f>
        <v>246423.8</v>
      </c>
      <c r="F795" s="10">
        <f t="shared" si="290"/>
        <v>208715.89999999997</v>
      </c>
      <c r="G795" s="10">
        <f t="shared" si="290"/>
        <v>213457.4</v>
      </c>
    </row>
    <row r="796" spans="1:7" outlineLevel="1" x14ac:dyDescent="0.25">
      <c r="A796" s="40" t="s">
        <v>144</v>
      </c>
      <c r="B796" s="9" t="s">
        <v>262</v>
      </c>
      <c r="C796" s="9" t="s">
        <v>215</v>
      </c>
      <c r="D796" s="5"/>
      <c r="E796" s="10">
        <f>E797+E806+E824+E833</f>
        <v>246423.8</v>
      </c>
      <c r="F796" s="10">
        <f>F797+F806+F824+F833</f>
        <v>208715.89999999997</v>
      </c>
      <c r="G796" s="10">
        <f>G797+G806+G824+G833</f>
        <v>213457.4</v>
      </c>
    </row>
    <row r="797" spans="1:7" ht="63" outlineLevel="1" x14ac:dyDescent="0.25">
      <c r="A797" s="47" t="s">
        <v>492</v>
      </c>
      <c r="B797" s="9" t="s">
        <v>262</v>
      </c>
      <c r="C797" s="9" t="s">
        <v>216</v>
      </c>
      <c r="D797" s="5"/>
      <c r="E797" s="10">
        <f>E800+E803+E798</f>
        <v>16216.6</v>
      </c>
      <c r="F797" s="10">
        <f t="shared" ref="F797:G797" si="291">F800+F803+F798</f>
        <v>2431.9</v>
      </c>
      <c r="G797" s="10">
        <f t="shared" si="291"/>
        <v>2431.9</v>
      </c>
    </row>
    <row r="798" spans="1:7" ht="47.25" outlineLevel="1" x14ac:dyDescent="0.25">
      <c r="A798" s="40" t="s">
        <v>150</v>
      </c>
      <c r="B798" s="9" t="s">
        <v>262</v>
      </c>
      <c r="C798" s="9" t="s">
        <v>217</v>
      </c>
      <c r="D798" s="5"/>
      <c r="E798" s="10">
        <f>E799</f>
        <v>13855.9</v>
      </c>
      <c r="F798" s="10">
        <f t="shared" ref="F798:G798" si="292">F799</f>
        <v>0</v>
      </c>
      <c r="G798" s="10">
        <f t="shared" si="292"/>
        <v>0</v>
      </c>
    </row>
    <row r="799" spans="1:7" ht="47.25" outlineLevel="1" x14ac:dyDescent="0.25">
      <c r="A799" s="40" t="s">
        <v>94</v>
      </c>
      <c r="B799" s="9" t="s">
        <v>262</v>
      </c>
      <c r="C799" s="9" t="s">
        <v>217</v>
      </c>
      <c r="D799" s="5">
        <v>600</v>
      </c>
      <c r="E799" s="10">
        <v>13855.9</v>
      </c>
      <c r="F799" s="10">
        <v>0</v>
      </c>
      <c r="G799" s="10">
        <v>0</v>
      </c>
    </row>
    <row r="800" spans="1:7" ht="78.75" outlineLevel="1" x14ac:dyDescent="0.25">
      <c r="A800" s="47" t="s">
        <v>263</v>
      </c>
      <c r="B800" s="9" t="s">
        <v>262</v>
      </c>
      <c r="C800" s="9" t="s">
        <v>264</v>
      </c>
      <c r="D800" s="5"/>
      <c r="E800" s="10">
        <f>E801+E802</f>
        <v>987.7</v>
      </c>
      <c r="F800" s="10">
        <f t="shared" ref="F800:G800" si="293">F801+F802</f>
        <v>1257.1000000000001</v>
      </c>
      <c r="G800" s="10">
        <f t="shared" si="293"/>
        <v>1257.1000000000001</v>
      </c>
    </row>
    <row r="801" spans="1:7" ht="94.5" outlineLevel="1" x14ac:dyDescent="0.25">
      <c r="A801" s="11" t="s">
        <v>13</v>
      </c>
      <c r="B801" s="9" t="s">
        <v>262</v>
      </c>
      <c r="C801" s="9" t="s">
        <v>264</v>
      </c>
      <c r="D801" s="5">
        <v>100</v>
      </c>
      <c r="E801" s="10">
        <v>795.00000000000011</v>
      </c>
      <c r="F801" s="10">
        <v>795.00000000000011</v>
      </c>
      <c r="G801" s="10">
        <v>795.00000000000011</v>
      </c>
    </row>
    <row r="802" spans="1:7" ht="31.5" outlineLevel="1" x14ac:dyDescent="0.25">
      <c r="A802" s="11" t="s">
        <v>76</v>
      </c>
      <c r="B802" s="9" t="s">
        <v>262</v>
      </c>
      <c r="C802" s="9" t="s">
        <v>264</v>
      </c>
      <c r="D802" s="5">
        <v>200</v>
      </c>
      <c r="E802" s="10">
        <v>192.7</v>
      </c>
      <c r="F802" s="10">
        <v>462.1</v>
      </c>
      <c r="G802" s="10">
        <v>462.1</v>
      </c>
    </row>
    <row r="803" spans="1:7" ht="157.5" outlineLevel="1" x14ac:dyDescent="0.25">
      <c r="A803" s="47" t="s">
        <v>243</v>
      </c>
      <c r="B803" s="9" t="s">
        <v>262</v>
      </c>
      <c r="C803" s="9" t="s">
        <v>244</v>
      </c>
      <c r="D803" s="5"/>
      <c r="E803" s="10">
        <f>E804+E805</f>
        <v>1373.0000000000002</v>
      </c>
      <c r="F803" s="10">
        <f t="shared" ref="F803:G803" si="294">F804+F805</f>
        <v>1174.8</v>
      </c>
      <c r="G803" s="10">
        <f t="shared" si="294"/>
        <v>1174.8</v>
      </c>
    </row>
    <row r="804" spans="1:7" ht="94.5" outlineLevel="1" x14ac:dyDescent="0.25">
      <c r="A804" s="11" t="s">
        <v>13</v>
      </c>
      <c r="B804" s="9" t="s">
        <v>262</v>
      </c>
      <c r="C804" s="9" t="s">
        <v>244</v>
      </c>
      <c r="D804" s="5">
        <v>100</v>
      </c>
      <c r="E804" s="10">
        <v>1174.8000000000002</v>
      </c>
      <c r="F804" s="10">
        <v>1174.8</v>
      </c>
      <c r="G804" s="10">
        <v>1174.8</v>
      </c>
    </row>
    <row r="805" spans="1:7" ht="31.5" outlineLevel="1" x14ac:dyDescent="0.25">
      <c r="A805" s="11" t="s">
        <v>76</v>
      </c>
      <c r="B805" s="9" t="s">
        <v>262</v>
      </c>
      <c r="C805" s="9" t="s">
        <v>244</v>
      </c>
      <c r="D805" s="5">
        <v>200</v>
      </c>
      <c r="E805" s="10">
        <v>198.2</v>
      </c>
      <c r="F805" s="10">
        <v>0</v>
      </c>
      <c r="G805" s="10">
        <v>0</v>
      </c>
    </row>
    <row r="806" spans="1:7" ht="47.25" outlineLevel="1" x14ac:dyDescent="0.25">
      <c r="A806" s="47" t="s">
        <v>493</v>
      </c>
      <c r="B806" s="9" t="s">
        <v>262</v>
      </c>
      <c r="C806" s="12" t="s">
        <v>267</v>
      </c>
      <c r="D806" s="5"/>
      <c r="E806" s="10">
        <f>E812+E814+E816+E819+E821+E807+E810</f>
        <v>19343</v>
      </c>
      <c r="F806" s="10">
        <f t="shared" ref="F806:G806" si="295">F812+F814+F816+F819+F821+F807+F810</f>
        <v>8315.6000000000022</v>
      </c>
      <c r="G806" s="10">
        <f t="shared" si="295"/>
        <v>8317.2000000000007</v>
      </c>
    </row>
    <row r="807" spans="1:7" ht="110.25" outlineLevel="1" x14ac:dyDescent="0.25">
      <c r="A807" s="47" t="s">
        <v>767</v>
      </c>
      <c r="B807" s="9" t="s">
        <v>262</v>
      </c>
      <c r="C807" s="9" t="s">
        <v>768</v>
      </c>
      <c r="D807" s="9"/>
      <c r="E807" s="10">
        <f>+E808+E809</f>
        <v>1533</v>
      </c>
      <c r="F807" s="10">
        <f t="shared" ref="F807:G807" si="296">+F808+F809</f>
        <v>0</v>
      </c>
      <c r="G807" s="10">
        <f t="shared" si="296"/>
        <v>0</v>
      </c>
    </row>
    <row r="808" spans="1:7" ht="31.5" outlineLevel="1" x14ac:dyDescent="0.25">
      <c r="A808" s="11" t="s">
        <v>76</v>
      </c>
      <c r="B808" s="9" t="s">
        <v>262</v>
      </c>
      <c r="C808" s="9" t="s">
        <v>768</v>
      </c>
      <c r="D808" s="9" t="s">
        <v>39</v>
      </c>
      <c r="E808" s="10">
        <v>10</v>
      </c>
      <c r="F808" s="10">
        <v>0</v>
      </c>
      <c r="G808" s="10">
        <v>0</v>
      </c>
    </row>
    <row r="809" spans="1:7" ht="31.5" outlineLevel="1" x14ac:dyDescent="0.25">
      <c r="A809" s="11" t="s">
        <v>20</v>
      </c>
      <c r="B809" s="9" t="s">
        <v>262</v>
      </c>
      <c r="C809" s="9" t="s">
        <v>768</v>
      </c>
      <c r="D809" s="9" t="s">
        <v>551</v>
      </c>
      <c r="E809" s="10">
        <v>1523</v>
      </c>
      <c r="F809" s="10">
        <v>0</v>
      </c>
      <c r="G809" s="10">
        <v>0</v>
      </c>
    </row>
    <row r="810" spans="1:7" ht="78.75" outlineLevel="1" x14ac:dyDescent="0.25">
      <c r="A810" s="11" t="s">
        <v>903</v>
      </c>
      <c r="B810" s="9" t="s">
        <v>262</v>
      </c>
      <c r="C810" s="9" t="s">
        <v>769</v>
      </c>
      <c r="D810" s="9"/>
      <c r="E810" s="10">
        <f>+E811</f>
        <v>378.8</v>
      </c>
      <c r="F810" s="10">
        <f t="shared" ref="F810:G810" si="297">+F811</f>
        <v>0</v>
      </c>
      <c r="G810" s="10">
        <f t="shared" si="297"/>
        <v>0</v>
      </c>
    </row>
    <row r="811" spans="1:7" ht="47.25" outlineLevel="1" x14ac:dyDescent="0.25">
      <c r="A811" s="11" t="s">
        <v>94</v>
      </c>
      <c r="B811" s="9" t="s">
        <v>262</v>
      </c>
      <c r="C811" s="9" t="s">
        <v>769</v>
      </c>
      <c r="D811" s="9" t="s">
        <v>95</v>
      </c>
      <c r="E811" s="10">
        <f>404-25.2</f>
        <v>378.8</v>
      </c>
      <c r="F811" s="10">
        <v>0</v>
      </c>
      <c r="G811" s="10">
        <v>0</v>
      </c>
    </row>
    <row r="812" spans="1:7" ht="63" outlineLevel="1" x14ac:dyDescent="0.25">
      <c r="A812" s="47" t="s">
        <v>268</v>
      </c>
      <c r="B812" s="9" t="s">
        <v>262</v>
      </c>
      <c r="C812" s="9" t="s">
        <v>269</v>
      </c>
      <c r="D812" s="5"/>
      <c r="E812" s="10">
        <f>E813</f>
        <v>63.3</v>
      </c>
      <c r="F812" s="10">
        <f t="shared" ref="F812:G812" si="298">F813</f>
        <v>64.2</v>
      </c>
      <c r="G812" s="10">
        <f t="shared" si="298"/>
        <v>64.2</v>
      </c>
    </row>
    <row r="813" spans="1:7" ht="31.5" outlineLevel="1" x14ac:dyDescent="0.25">
      <c r="A813" s="11" t="s">
        <v>76</v>
      </c>
      <c r="B813" s="9" t="s">
        <v>262</v>
      </c>
      <c r="C813" s="9" t="s">
        <v>269</v>
      </c>
      <c r="D813" s="5">
        <v>200</v>
      </c>
      <c r="E813" s="10">
        <v>63.3</v>
      </c>
      <c r="F813" s="10">
        <v>64.2</v>
      </c>
      <c r="G813" s="10">
        <v>64.2</v>
      </c>
    </row>
    <row r="814" spans="1:7" ht="110.25" outlineLevel="1" x14ac:dyDescent="0.25">
      <c r="A814" s="47" t="s">
        <v>270</v>
      </c>
      <c r="B814" s="9" t="s">
        <v>262</v>
      </c>
      <c r="C814" s="9" t="s">
        <v>271</v>
      </c>
      <c r="D814" s="5"/>
      <c r="E814" s="10">
        <f>E815</f>
        <v>2.2999999999999998</v>
      </c>
      <c r="F814" s="10">
        <f t="shared" ref="F814:G814" si="299">F815</f>
        <v>2.2999999999999998</v>
      </c>
      <c r="G814" s="10">
        <f t="shared" si="299"/>
        <v>2.2999999999999998</v>
      </c>
    </row>
    <row r="815" spans="1:7" ht="31.5" outlineLevel="1" x14ac:dyDescent="0.25">
      <c r="A815" s="11" t="s">
        <v>76</v>
      </c>
      <c r="B815" s="9" t="s">
        <v>262</v>
      </c>
      <c r="C815" s="9" t="s">
        <v>271</v>
      </c>
      <c r="D815" s="5">
        <v>200</v>
      </c>
      <c r="E815" s="10">
        <v>2.2999999999999998</v>
      </c>
      <c r="F815" s="10">
        <v>2.2999999999999998</v>
      </c>
      <c r="G815" s="10">
        <v>2.2999999999999998</v>
      </c>
    </row>
    <row r="816" spans="1:7" ht="94.5" outlineLevel="1" x14ac:dyDescent="0.25">
      <c r="A816" s="47" t="s">
        <v>272</v>
      </c>
      <c r="B816" s="9" t="s">
        <v>262</v>
      </c>
      <c r="C816" s="9" t="s">
        <v>273</v>
      </c>
      <c r="D816" s="13"/>
      <c r="E816" s="10">
        <f>E818+E817</f>
        <v>800.3</v>
      </c>
      <c r="F816" s="10">
        <f t="shared" ref="F816:G816" si="300">F818+F817</f>
        <v>800.3</v>
      </c>
      <c r="G816" s="10">
        <f t="shared" si="300"/>
        <v>800.3</v>
      </c>
    </row>
    <row r="817" spans="1:7" ht="94.5" outlineLevel="1" x14ac:dyDescent="0.25">
      <c r="A817" s="69" t="s">
        <v>13</v>
      </c>
      <c r="B817" s="9" t="s">
        <v>262</v>
      </c>
      <c r="C817" s="9" t="s">
        <v>273</v>
      </c>
      <c r="D817" s="13">
        <v>100</v>
      </c>
      <c r="E817" s="10">
        <f>88.5+170.3</f>
        <v>258.8</v>
      </c>
      <c r="F817" s="10">
        <v>0</v>
      </c>
      <c r="G817" s="10">
        <v>0</v>
      </c>
    </row>
    <row r="818" spans="1:7" ht="31.5" outlineLevel="1" x14ac:dyDescent="0.25">
      <c r="A818" s="11" t="s">
        <v>76</v>
      </c>
      <c r="B818" s="9" t="s">
        <v>262</v>
      </c>
      <c r="C818" s="9" t="s">
        <v>273</v>
      </c>
      <c r="D818" s="13">
        <v>200</v>
      </c>
      <c r="E818" s="10">
        <f>711.8-170.3</f>
        <v>541.5</v>
      </c>
      <c r="F818" s="10">
        <v>800.3</v>
      </c>
      <c r="G818" s="10">
        <v>800.3</v>
      </c>
    </row>
    <row r="819" spans="1:7" ht="31.5" outlineLevel="1" x14ac:dyDescent="0.25">
      <c r="A819" s="40" t="s">
        <v>274</v>
      </c>
      <c r="B819" s="9" t="s">
        <v>262</v>
      </c>
      <c r="C819" s="9" t="s">
        <v>275</v>
      </c>
      <c r="D819" s="5"/>
      <c r="E819" s="10">
        <f>E820</f>
        <v>2000</v>
      </c>
      <c r="F819" s="10">
        <f t="shared" ref="F819:G819" si="301">F820</f>
        <v>2000</v>
      </c>
      <c r="G819" s="10">
        <f t="shared" si="301"/>
        <v>2000</v>
      </c>
    </row>
    <row r="820" spans="1:7" ht="47.25" outlineLevel="1" x14ac:dyDescent="0.25">
      <c r="A820" s="11" t="s">
        <v>94</v>
      </c>
      <c r="B820" s="9" t="s">
        <v>262</v>
      </c>
      <c r="C820" s="9" t="s">
        <v>275</v>
      </c>
      <c r="D820" s="5">
        <v>600</v>
      </c>
      <c r="E820" s="10">
        <v>2000</v>
      </c>
      <c r="F820" s="10">
        <v>2000</v>
      </c>
      <c r="G820" s="10">
        <v>2000</v>
      </c>
    </row>
    <row r="821" spans="1:7" ht="47.25" outlineLevel="1" x14ac:dyDescent="0.25">
      <c r="A821" s="47" t="s">
        <v>276</v>
      </c>
      <c r="B821" s="9" t="s">
        <v>262</v>
      </c>
      <c r="C821" s="28" t="s">
        <v>277</v>
      </c>
      <c r="D821" s="5"/>
      <c r="E821" s="10">
        <f>E822+E823</f>
        <v>14565.3</v>
      </c>
      <c r="F821" s="10">
        <f t="shared" ref="F821:G821" si="302">F822+F823</f>
        <v>5448.8000000000011</v>
      </c>
      <c r="G821" s="10">
        <f t="shared" si="302"/>
        <v>5450.4</v>
      </c>
    </row>
    <row r="822" spans="1:7" ht="31.5" outlineLevel="1" x14ac:dyDescent="0.25">
      <c r="A822" s="11" t="s">
        <v>76</v>
      </c>
      <c r="B822" s="9" t="s">
        <v>262</v>
      </c>
      <c r="C822" s="28" t="s">
        <v>277</v>
      </c>
      <c r="D822" s="5">
        <v>200</v>
      </c>
      <c r="E822" s="10">
        <f>50.5+14.3+51.2</f>
        <v>116</v>
      </c>
      <c r="F822" s="10">
        <v>50.5</v>
      </c>
      <c r="G822" s="10">
        <v>50.5</v>
      </c>
    </row>
    <row r="823" spans="1:7" ht="31.5" outlineLevel="1" x14ac:dyDescent="0.25">
      <c r="A823" s="11" t="s">
        <v>20</v>
      </c>
      <c r="B823" s="9" t="s">
        <v>262</v>
      </c>
      <c r="C823" s="28" t="s">
        <v>277</v>
      </c>
      <c r="D823" s="5">
        <v>300</v>
      </c>
      <c r="E823" s="10">
        <f>12866.6+10.9+1571.8</f>
        <v>14449.3</v>
      </c>
      <c r="F823" s="10">
        <v>5398.3000000000011</v>
      </c>
      <c r="G823" s="10">
        <v>5399.9</v>
      </c>
    </row>
    <row r="824" spans="1:7" ht="63" outlineLevel="1" x14ac:dyDescent="0.25">
      <c r="A824" s="47" t="s">
        <v>486</v>
      </c>
      <c r="B824" s="9" t="s">
        <v>262</v>
      </c>
      <c r="C824" s="12" t="s">
        <v>222</v>
      </c>
      <c r="D824" s="5"/>
      <c r="E824" s="10">
        <f>E825+E829+E831+E827</f>
        <v>11128.4</v>
      </c>
      <c r="F824" s="10">
        <f t="shared" ref="F824:G824" si="303">F825+F829+F831+F827</f>
        <v>3387.8</v>
      </c>
      <c r="G824" s="10">
        <f t="shared" si="303"/>
        <v>3387.8</v>
      </c>
    </row>
    <row r="825" spans="1:7" ht="31.5" outlineLevel="1" x14ac:dyDescent="0.25">
      <c r="A825" s="59" t="s">
        <v>248</v>
      </c>
      <c r="B825" s="9" t="s">
        <v>262</v>
      </c>
      <c r="C825" s="28" t="s">
        <v>249</v>
      </c>
      <c r="D825" s="5"/>
      <c r="E825" s="10">
        <f>E826</f>
        <v>1739</v>
      </c>
      <c r="F825" s="10">
        <f t="shared" ref="F825:G825" si="304">F826</f>
        <v>1447</v>
      </c>
      <c r="G825" s="10">
        <f t="shared" si="304"/>
        <v>1447</v>
      </c>
    </row>
    <row r="826" spans="1:7" ht="47.25" outlineLevel="1" x14ac:dyDescent="0.25">
      <c r="A826" s="11" t="s">
        <v>94</v>
      </c>
      <c r="B826" s="9" t="s">
        <v>262</v>
      </c>
      <c r="C826" s="28" t="s">
        <v>249</v>
      </c>
      <c r="D826" s="5">
        <v>600</v>
      </c>
      <c r="E826" s="10">
        <f>1839-100</f>
        <v>1739</v>
      </c>
      <c r="F826" s="10">
        <v>1447</v>
      </c>
      <c r="G826" s="10">
        <v>1447</v>
      </c>
    </row>
    <row r="827" spans="1:7" ht="63" outlineLevel="1" x14ac:dyDescent="0.25">
      <c r="A827" s="54" t="s">
        <v>845</v>
      </c>
      <c r="B827" s="33" t="s">
        <v>262</v>
      </c>
      <c r="C827" s="9" t="s">
        <v>846</v>
      </c>
      <c r="D827" s="33"/>
      <c r="E827" s="10">
        <f>+E828</f>
        <v>279</v>
      </c>
      <c r="F827" s="10">
        <f t="shared" ref="F827:G827" si="305">+F828</f>
        <v>0</v>
      </c>
      <c r="G827" s="10">
        <f t="shared" si="305"/>
        <v>0</v>
      </c>
    </row>
    <row r="828" spans="1:7" ht="47.25" outlineLevel="1" x14ac:dyDescent="0.25">
      <c r="A828" s="54" t="s">
        <v>94</v>
      </c>
      <c r="B828" s="33" t="s">
        <v>262</v>
      </c>
      <c r="C828" s="9" t="s">
        <v>846</v>
      </c>
      <c r="D828" s="33">
        <v>600</v>
      </c>
      <c r="E828" s="10">
        <v>279</v>
      </c>
      <c r="F828" s="10">
        <v>0</v>
      </c>
      <c r="G828" s="10">
        <v>0</v>
      </c>
    </row>
    <row r="829" spans="1:7" ht="31.5" outlineLevel="1" x14ac:dyDescent="0.25">
      <c r="A829" s="47" t="s">
        <v>278</v>
      </c>
      <c r="B829" s="9" t="s">
        <v>262</v>
      </c>
      <c r="C829" s="28" t="s">
        <v>279</v>
      </c>
      <c r="D829" s="13"/>
      <c r="E829" s="10">
        <f>E830</f>
        <v>7110.4</v>
      </c>
      <c r="F829" s="10">
        <f t="shared" ref="F829:G829" si="306">F830</f>
        <v>1940.8</v>
      </c>
      <c r="G829" s="10">
        <f t="shared" si="306"/>
        <v>1940.8</v>
      </c>
    </row>
    <row r="830" spans="1:7" ht="47.25" outlineLevel="1" x14ac:dyDescent="0.25">
      <c r="A830" s="11" t="s">
        <v>94</v>
      </c>
      <c r="B830" s="9" t="s">
        <v>262</v>
      </c>
      <c r="C830" s="28" t="s">
        <v>279</v>
      </c>
      <c r="D830" s="13">
        <v>600</v>
      </c>
      <c r="E830" s="10">
        <f>5722.2+1388.2</f>
        <v>7110.4</v>
      </c>
      <c r="F830" s="10">
        <v>1940.8</v>
      </c>
      <c r="G830" s="10">
        <v>1940.8</v>
      </c>
    </row>
    <row r="831" spans="1:7" ht="94.5" outlineLevel="1" x14ac:dyDescent="0.25">
      <c r="A831" s="69" t="s">
        <v>611</v>
      </c>
      <c r="B831" s="9" t="s">
        <v>262</v>
      </c>
      <c r="C831" s="9" t="s">
        <v>612</v>
      </c>
      <c r="D831" s="9"/>
      <c r="E831" s="10">
        <f>E832</f>
        <v>2000</v>
      </c>
      <c r="F831" s="10">
        <f t="shared" ref="F831:G831" si="307">F832</f>
        <v>0</v>
      </c>
      <c r="G831" s="10">
        <f t="shared" si="307"/>
        <v>0</v>
      </c>
    </row>
    <row r="832" spans="1:7" ht="47.25" outlineLevel="1" x14ac:dyDescent="0.25">
      <c r="A832" s="11" t="s">
        <v>94</v>
      </c>
      <c r="B832" s="9" t="s">
        <v>262</v>
      </c>
      <c r="C832" s="9" t="s">
        <v>612</v>
      </c>
      <c r="D832" s="9" t="s">
        <v>95</v>
      </c>
      <c r="E832" s="10">
        <v>2000</v>
      </c>
      <c r="F832" s="10">
        <v>0</v>
      </c>
      <c r="G832" s="10">
        <v>0</v>
      </c>
    </row>
    <row r="833" spans="1:7" ht="47.25" outlineLevel="1" x14ac:dyDescent="0.25">
      <c r="A833" s="47" t="s">
        <v>494</v>
      </c>
      <c r="B833" s="9" t="s">
        <v>262</v>
      </c>
      <c r="C833" s="12" t="s">
        <v>280</v>
      </c>
      <c r="D833" s="5"/>
      <c r="E833" s="10">
        <f>E834+E838+E844+E840</f>
        <v>199735.8</v>
      </c>
      <c r="F833" s="10">
        <f t="shared" ref="F833:G833" si="308">F834+F838+F844+F840</f>
        <v>194580.59999999998</v>
      </c>
      <c r="G833" s="10">
        <f t="shared" si="308"/>
        <v>199320.5</v>
      </c>
    </row>
    <row r="834" spans="1:7" ht="47.25" outlineLevel="1" x14ac:dyDescent="0.25">
      <c r="A834" s="47" t="s">
        <v>158</v>
      </c>
      <c r="B834" s="9" t="s">
        <v>262</v>
      </c>
      <c r="C834" s="28" t="s">
        <v>281</v>
      </c>
      <c r="D834" s="5"/>
      <c r="E834" s="10">
        <f>E835+E836+E837</f>
        <v>59059.399999999994</v>
      </c>
      <c r="F834" s="10">
        <f t="shared" ref="F834:G834" si="309">F835+F836</f>
        <v>53253.3</v>
      </c>
      <c r="G834" s="10">
        <f t="shared" si="309"/>
        <v>53253.3</v>
      </c>
    </row>
    <row r="835" spans="1:7" ht="94.5" outlineLevel="1" x14ac:dyDescent="0.25">
      <c r="A835" s="11" t="s">
        <v>13</v>
      </c>
      <c r="B835" s="9" t="s">
        <v>262</v>
      </c>
      <c r="C835" s="28" t="s">
        <v>281</v>
      </c>
      <c r="D835" s="5">
        <v>100</v>
      </c>
      <c r="E835" s="10">
        <v>57252.399999999994</v>
      </c>
      <c r="F835" s="10">
        <v>51699.3</v>
      </c>
      <c r="G835" s="10">
        <v>51699.3</v>
      </c>
    </row>
    <row r="836" spans="1:7" ht="31.5" outlineLevel="1" x14ac:dyDescent="0.25">
      <c r="A836" s="11" t="s">
        <v>76</v>
      </c>
      <c r="B836" s="9" t="s">
        <v>262</v>
      </c>
      <c r="C836" s="28" t="s">
        <v>281</v>
      </c>
      <c r="D836" s="5">
        <v>200</v>
      </c>
      <c r="E836" s="10">
        <v>1260</v>
      </c>
      <c r="F836" s="10">
        <v>1554</v>
      </c>
      <c r="G836" s="10">
        <v>1554</v>
      </c>
    </row>
    <row r="837" spans="1:7" ht="31.5" outlineLevel="1" x14ac:dyDescent="0.25">
      <c r="A837" s="42" t="s">
        <v>20</v>
      </c>
      <c r="B837" s="9" t="s">
        <v>262</v>
      </c>
      <c r="C837" s="9" t="s">
        <v>281</v>
      </c>
      <c r="D837" s="9" t="s">
        <v>551</v>
      </c>
      <c r="E837" s="10">
        <v>547</v>
      </c>
      <c r="F837" s="10">
        <v>0</v>
      </c>
      <c r="G837" s="10">
        <v>0</v>
      </c>
    </row>
    <row r="838" spans="1:7" ht="38.25" customHeight="1" outlineLevel="1" x14ac:dyDescent="0.25">
      <c r="A838" s="40" t="s">
        <v>150</v>
      </c>
      <c r="B838" s="9" t="s">
        <v>262</v>
      </c>
      <c r="C838" s="28" t="s">
        <v>282</v>
      </c>
      <c r="D838" s="5"/>
      <c r="E838" s="10">
        <f>E839</f>
        <v>10396.200000000001</v>
      </c>
      <c r="F838" s="10">
        <f t="shared" ref="F838:G838" si="310">F839</f>
        <v>10610.7</v>
      </c>
      <c r="G838" s="10">
        <f t="shared" si="310"/>
        <v>11024.5</v>
      </c>
    </row>
    <row r="839" spans="1:7" ht="47.25" outlineLevel="1" x14ac:dyDescent="0.25">
      <c r="A839" s="11" t="s">
        <v>94</v>
      </c>
      <c r="B839" s="9" t="s">
        <v>262</v>
      </c>
      <c r="C839" s="28" t="s">
        <v>282</v>
      </c>
      <c r="D839" s="5">
        <v>600</v>
      </c>
      <c r="E839" s="10">
        <v>10396.200000000001</v>
      </c>
      <c r="F839" s="10">
        <v>10610.7</v>
      </c>
      <c r="G839" s="10">
        <v>11024.5</v>
      </c>
    </row>
    <row r="840" spans="1:7" ht="47.25" outlineLevel="1" x14ac:dyDescent="0.25">
      <c r="A840" s="11" t="s">
        <v>283</v>
      </c>
      <c r="B840" s="9" t="s">
        <v>262</v>
      </c>
      <c r="C840" s="28" t="s">
        <v>284</v>
      </c>
      <c r="D840" s="5"/>
      <c r="E840" s="10">
        <f>E841+E842+E843</f>
        <v>110362.90000000001</v>
      </c>
      <c r="F840" s="10">
        <f t="shared" ref="F840:G840" si="311">F841+F842+F843</f>
        <v>110799.29999999999</v>
      </c>
      <c r="G840" s="10">
        <f t="shared" si="311"/>
        <v>115125.4</v>
      </c>
    </row>
    <row r="841" spans="1:7" ht="94.5" outlineLevel="1" x14ac:dyDescent="0.25">
      <c r="A841" s="11" t="s">
        <v>13</v>
      </c>
      <c r="B841" s="9" t="s">
        <v>262</v>
      </c>
      <c r="C841" s="28" t="s">
        <v>284</v>
      </c>
      <c r="D841" s="5">
        <v>100</v>
      </c>
      <c r="E841" s="10">
        <v>104087.1</v>
      </c>
      <c r="F841" s="10">
        <v>108152.7</v>
      </c>
      <c r="G841" s="10">
        <v>112478.8</v>
      </c>
    </row>
    <row r="842" spans="1:7" ht="31.5" outlineLevel="1" x14ac:dyDescent="0.25">
      <c r="A842" s="11" t="s">
        <v>76</v>
      </c>
      <c r="B842" s="9" t="s">
        <v>262</v>
      </c>
      <c r="C842" s="28" t="s">
        <v>284</v>
      </c>
      <c r="D842" s="5">
        <v>200</v>
      </c>
      <c r="E842" s="10">
        <v>6274.1</v>
      </c>
      <c r="F842" s="10">
        <v>2644.9</v>
      </c>
      <c r="G842" s="10">
        <v>2644.9</v>
      </c>
    </row>
    <row r="843" spans="1:7" outlineLevel="1" x14ac:dyDescent="0.25">
      <c r="A843" s="40" t="s">
        <v>33</v>
      </c>
      <c r="B843" s="9" t="s">
        <v>262</v>
      </c>
      <c r="C843" s="28" t="s">
        <v>284</v>
      </c>
      <c r="D843" s="5">
        <v>800</v>
      </c>
      <c r="E843" s="10">
        <v>1.7</v>
      </c>
      <c r="F843" s="10">
        <v>1.7</v>
      </c>
      <c r="G843" s="10">
        <v>1.7</v>
      </c>
    </row>
    <row r="844" spans="1:7" ht="63" outlineLevel="1" x14ac:dyDescent="0.25">
      <c r="A844" s="47" t="s">
        <v>285</v>
      </c>
      <c r="B844" s="9" t="s">
        <v>262</v>
      </c>
      <c r="C844" s="12" t="s">
        <v>286</v>
      </c>
      <c r="D844" s="5"/>
      <c r="E844" s="10">
        <f>E845+E846</f>
        <v>19917.3</v>
      </c>
      <c r="F844" s="10">
        <f t="shared" ref="F844:G844" si="312">F845+F846</f>
        <v>19917.3</v>
      </c>
      <c r="G844" s="10">
        <f t="shared" si="312"/>
        <v>19917.3</v>
      </c>
    </row>
    <row r="845" spans="1:7" ht="94.5" outlineLevel="1" x14ac:dyDescent="0.25">
      <c r="A845" s="11" t="s">
        <v>13</v>
      </c>
      <c r="B845" s="9" t="s">
        <v>262</v>
      </c>
      <c r="C845" s="12" t="s">
        <v>286</v>
      </c>
      <c r="D845" s="13">
        <v>100</v>
      </c>
      <c r="E845" s="10">
        <v>19517.3</v>
      </c>
      <c r="F845" s="10">
        <v>19517.3</v>
      </c>
      <c r="G845" s="10">
        <v>19517.3</v>
      </c>
    </row>
    <row r="846" spans="1:7" ht="31.5" outlineLevel="1" x14ac:dyDescent="0.25">
      <c r="A846" s="11" t="s">
        <v>76</v>
      </c>
      <c r="B846" s="9" t="s">
        <v>262</v>
      </c>
      <c r="C846" s="12" t="s">
        <v>286</v>
      </c>
      <c r="D846" s="13">
        <v>200</v>
      </c>
      <c r="E846" s="10">
        <v>400</v>
      </c>
      <c r="F846" s="10">
        <v>400</v>
      </c>
      <c r="G846" s="10">
        <v>400</v>
      </c>
    </row>
    <row r="847" spans="1:7" x14ac:dyDescent="0.25">
      <c r="A847" s="41" t="s">
        <v>103</v>
      </c>
      <c r="B847" s="29" t="s">
        <v>104</v>
      </c>
      <c r="C847" s="29"/>
      <c r="D847" s="19"/>
      <c r="E847" s="8">
        <f>E848+E868</f>
        <v>804329.79999999993</v>
      </c>
      <c r="F847" s="92">
        <f>F848+F868</f>
        <v>403478</v>
      </c>
      <c r="G847" s="92">
        <f>G848+G868</f>
        <v>421899</v>
      </c>
    </row>
    <row r="848" spans="1:7" outlineLevel="2" x14ac:dyDescent="0.25">
      <c r="A848" s="11" t="s">
        <v>105</v>
      </c>
      <c r="B848" s="16" t="s">
        <v>106</v>
      </c>
      <c r="C848" s="16"/>
      <c r="D848" s="1"/>
      <c r="E848" s="10">
        <f>E849</f>
        <v>710960.7</v>
      </c>
      <c r="F848" s="10">
        <f t="shared" ref="F848:G866" si="313">F849</f>
        <v>312470.7</v>
      </c>
      <c r="G848" s="10">
        <f t="shared" si="313"/>
        <v>330195.3</v>
      </c>
    </row>
    <row r="849" spans="1:7" ht="31.5" outlineLevel="3" x14ac:dyDescent="0.25">
      <c r="A849" s="11" t="s">
        <v>152</v>
      </c>
      <c r="B849" s="16" t="s">
        <v>106</v>
      </c>
      <c r="C849" s="16" t="s">
        <v>96</v>
      </c>
      <c r="D849" s="16"/>
      <c r="E849" s="10">
        <f>E864+E850+E854</f>
        <v>710960.7</v>
      </c>
      <c r="F849" s="10">
        <f>F864+F850+F854</f>
        <v>312470.7</v>
      </c>
      <c r="G849" s="10">
        <f>G864+G850+G854</f>
        <v>330195.3</v>
      </c>
    </row>
    <row r="850" spans="1:7" outlineLevel="3" x14ac:dyDescent="0.25">
      <c r="A850" s="56" t="s">
        <v>227</v>
      </c>
      <c r="B850" s="9" t="s">
        <v>106</v>
      </c>
      <c r="C850" s="9" t="s">
        <v>539</v>
      </c>
      <c r="D850" s="9"/>
      <c r="E850" s="10">
        <f>E851</f>
        <v>8510.6</v>
      </c>
      <c r="F850" s="10">
        <f t="shared" ref="F850:G852" si="314">F851</f>
        <v>0</v>
      </c>
      <c r="G850" s="10">
        <f t="shared" si="314"/>
        <v>0</v>
      </c>
    </row>
    <row r="851" spans="1:7" ht="31.5" outlineLevel="3" x14ac:dyDescent="0.25">
      <c r="A851" s="56" t="s">
        <v>537</v>
      </c>
      <c r="B851" s="9" t="s">
        <v>106</v>
      </c>
      <c r="C851" s="9" t="s">
        <v>540</v>
      </c>
      <c r="D851" s="9"/>
      <c r="E851" s="10">
        <f t="shared" ref="E851:E852" si="315">E852</f>
        <v>8510.6</v>
      </c>
      <c r="F851" s="10">
        <f t="shared" si="314"/>
        <v>0</v>
      </c>
      <c r="G851" s="10">
        <f t="shared" si="314"/>
        <v>0</v>
      </c>
    </row>
    <row r="852" spans="1:7" ht="31.5" outlineLevel="3" x14ac:dyDescent="0.25">
      <c r="A852" s="56" t="s">
        <v>538</v>
      </c>
      <c r="B852" s="9" t="s">
        <v>106</v>
      </c>
      <c r="C852" s="9" t="s">
        <v>541</v>
      </c>
      <c r="D852" s="9"/>
      <c r="E852" s="10">
        <f t="shared" si="315"/>
        <v>8510.6</v>
      </c>
      <c r="F852" s="10">
        <f t="shared" si="314"/>
        <v>0</v>
      </c>
      <c r="G852" s="10">
        <f t="shared" si="314"/>
        <v>0</v>
      </c>
    </row>
    <row r="853" spans="1:7" ht="47.25" outlineLevel="3" x14ac:dyDescent="0.25">
      <c r="A853" s="11" t="s">
        <v>94</v>
      </c>
      <c r="B853" s="9" t="s">
        <v>106</v>
      </c>
      <c r="C853" s="9" t="s">
        <v>541</v>
      </c>
      <c r="D853" s="9" t="s">
        <v>95</v>
      </c>
      <c r="E853" s="10">
        <v>8510.6</v>
      </c>
      <c r="F853" s="10">
        <v>0</v>
      </c>
      <c r="G853" s="10">
        <v>0</v>
      </c>
    </row>
    <row r="854" spans="1:7" ht="31.5" outlineLevel="3" x14ac:dyDescent="0.25">
      <c r="A854" s="11" t="s">
        <v>154</v>
      </c>
      <c r="B854" s="9" t="s">
        <v>106</v>
      </c>
      <c r="C854" s="9" t="s">
        <v>97</v>
      </c>
      <c r="D854" s="9"/>
      <c r="E854" s="10">
        <f>E855+E861</f>
        <v>306431.39999999997</v>
      </c>
      <c r="F854" s="10">
        <f t="shared" ref="F854:G854" si="316">F855+F861</f>
        <v>0</v>
      </c>
      <c r="G854" s="10">
        <f t="shared" si="316"/>
        <v>0</v>
      </c>
    </row>
    <row r="855" spans="1:7" ht="47.25" outlineLevel="3" x14ac:dyDescent="0.25">
      <c r="A855" s="47" t="s">
        <v>553</v>
      </c>
      <c r="B855" s="9" t="s">
        <v>106</v>
      </c>
      <c r="C855" s="9" t="s">
        <v>557</v>
      </c>
      <c r="D855" s="9"/>
      <c r="E855" s="10">
        <f>E856</f>
        <v>3401.1</v>
      </c>
      <c r="F855" s="10">
        <f t="shared" ref="F855:G855" si="317">F856</f>
        <v>0</v>
      </c>
      <c r="G855" s="10">
        <f t="shared" si="317"/>
        <v>0</v>
      </c>
    </row>
    <row r="856" spans="1:7" ht="47.25" outlineLevel="3" x14ac:dyDescent="0.25">
      <c r="A856" s="11" t="s">
        <v>554</v>
      </c>
      <c r="B856" s="9" t="s">
        <v>106</v>
      </c>
      <c r="C856" s="9" t="s">
        <v>864</v>
      </c>
      <c r="D856" s="9"/>
      <c r="E856" s="10">
        <f>E857+E859</f>
        <v>3401.1</v>
      </c>
      <c r="F856" s="10">
        <f t="shared" ref="F856:G856" si="318">F857+F859</f>
        <v>0</v>
      </c>
      <c r="G856" s="10">
        <f t="shared" si="318"/>
        <v>0</v>
      </c>
    </row>
    <row r="857" spans="1:7" ht="94.5" outlineLevel="3" x14ac:dyDescent="0.25">
      <c r="A857" s="11" t="s">
        <v>555</v>
      </c>
      <c r="B857" s="9" t="s">
        <v>106</v>
      </c>
      <c r="C857" s="9" t="s">
        <v>864</v>
      </c>
      <c r="D857" s="9"/>
      <c r="E857" s="10">
        <f>E858</f>
        <v>1048</v>
      </c>
      <c r="F857" s="10">
        <f t="shared" ref="F857:G857" si="319">F858</f>
        <v>0</v>
      </c>
      <c r="G857" s="10">
        <f t="shared" si="319"/>
        <v>0</v>
      </c>
    </row>
    <row r="858" spans="1:7" ht="47.25" outlineLevel="3" x14ac:dyDescent="0.25">
      <c r="A858" s="11" t="s">
        <v>94</v>
      </c>
      <c r="B858" s="9" t="s">
        <v>106</v>
      </c>
      <c r="C858" s="9" t="s">
        <v>864</v>
      </c>
      <c r="D858" s="9" t="s">
        <v>95</v>
      </c>
      <c r="E858" s="10">
        <v>1048</v>
      </c>
      <c r="F858" s="10">
        <v>0</v>
      </c>
      <c r="G858" s="10">
        <v>0</v>
      </c>
    </row>
    <row r="859" spans="1:7" ht="78.75" outlineLevel="3" x14ac:dyDescent="0.25">
      <c r="A859" s="11" t="s">
        <v>556</v>
      </c>
      <c r="B859" s="9" t="s">
        <v>106</v>
      </c>
      <c r="C859" s="9" t="s">
        <v>865</v>
      </c>
      <c r="D859" s="9"/>
      <c r="E859" s="10">
        <f>E860</f>
        <v>2353.1</v>
      </c>
      <c r="F859" s="10">
        <f t="shared" ref="F859:G859" si="320">F860</f>
        <v>0</v>
      </c>
      <c r="G859" s="10">
        <f t="shared" si="320"/>
        <v>0</v>
      </c>
    </row>
    <row r="860" spans="1:7" ht="47.25" outlineLevel="3" x14ac:dyDescent="0.25">
      <c r="A860" s="11" t="s">
        <v>94</v>
      </c>
      <c r="B860" s="9" t="s">
        <v>106</v>
      </c>
      <c r="C860" s="9" t="s">
        <v>865</v>
      </c>
      <c r="D860" s="9" t="s">
        <v>95</v>
      </c>
      <c r="E860" s="10">
        <v>2353.1</v>
      </c>
      <c r="F860" s="10">
        <v>0</v>
      </c>
      <c r="G860" s="10">
        <v>0</v>
      </c>
    </row>
    <row r="861" spans="1:7" ht="47.25" outlineLevel="3" x14ac:dyDescent="0.25">
      <c r="A861" s="42" t="s">
        <v>724</v>
      </c>
      <c r="B861" s="9" t="s">
        <v>106</v>
      </c>
      <c r="C861" s="9" t="s">
        <v>725</v>
      </c>
      <c r="D861" s="9"/>
      <c r="E861" s="2">
        <f>E862</f>
        <v>303030.3</v>
      </c>
      <c r="F861" s="2">
        <f t="shared" ref="F861:G861" si="321">F862</f>
        <v>0</v>
      </c>
      <c r="G861" s="2">
        <f t="shared" si="321"/>
        <v>0</v>
      </c>
    </row>
    <row r="862" spans="1:7" ht="78.75" outlineLevel="3" x14ac:dyDescent="0.25">
      <c r="A862" s="71" t="s">
        <v>839</v>
      </c>
      <c r="B862" s="33" t="s">
        <v>106</v>
      </c>
      <c r="C862" s="9" t="s">
        <v>840</v>
      </c>
      <c r="D862" s="33"/>
      <c r="E862" s="2">
        <f>+E863</f>
        <v>303030.3</v>
      </c>
      <c r="F862" s="10">
        <v>0</v>
      </c>
      <c r="G862" s="10">
        <v>0</v>
      </c>
    </row>
    <row r="863" spans="1:7" outlineLevel="3" x14ac:dyDescent="0.25">
      <c r="A863" s="71" t="s">
        <v>33</v>
      </c>
      <c r="B863" s="33" t="s">
        <v>106</v>
      </c>
      <c r="C863" s="9" t="s">
        <v>840</v>
      </c>
      <c r="D863" s="33" t="s">
        <v>522</v>
      </c>
      <c r="E863" s="2">
        <f>3030.3+300000</f>
        <v>303030.3</v>
      </c>
      <c r="F863" s="10">
        <v>0</v>
      </c>
      <c r="G863" s="10">
        <v>0</v>
      </c>
    </row>
    <row r="864" spans="1:7" outlineLevel="3" x14ac:dyDescent="0.25">
      <c r="A864" s="11" t="s">
        <v>144</v>
      </c>
      <c r="B864" s="16" t="s">
        <v>106</v>
      </c>
      <c r="C864" s="16" t="s">
        <v>107</v>
      </c>
      <c r="D864" s="16"/>
      <c r="E864" s="10">
        <f>E865</f>
        <v>396018.7</v>
      </c>
      <c r="F864" s="10">
        <f>F865</f>
        <v>312470.7</v>
      </c>
      <c r="G864" s="10">
        <f>G865</f>
        <v>330195.3</v>
      </c>
    </row>
    <row r="865" spans="1:7" ht="78.75" outlineLevel="3" x14ac:dyDescent="0.25">
      <c r="A865" s="11" t="s">
        <v>153</v>
      </c>
      <c r="B865" s="16" t="s">
        <v>106</v>
      </c>
      <c r="C865" s="16" t="s">
        <v>108</v>
      </c>
      <c r="D865" s="1"/>
      <c r="E865" s="10">
        <f>E866</f>
        <v>396018.7</v>
      </c>
      <c r="F865" s="10">
        <f t="shared" si="313"/>
        <v>312470.7</v>
      </c>
      <c r="G865" s="10">
        <f t="shared" si="313"/>
        <v>330195.3</v>
      </c>
    </row>
    <row r="866" spans="1:7" ht="47.25" outlineLevel="3" x14ac:dyDescent="0.25">
      <c r="A866" s="11" t="s">
        <v>150</v>
      </c>
      <c r="B866" s="16" t="s">
        <v>106</v>
      </c>
      <c r="C866" s="16" t="s">
        <v>109</v>
      </c>
      <c r="D866" s="16"/>
      <c r="E866" s="10">
        <f>E867</f>
        <v>396018.7</v>
      </c>
      <c r="F866" s="10">
        <f t="shared" si="313"/>
        <v>312470.7</v>
      </c>
      <c r="G866" s="10">
        <f t="shared" si="313"/>
        <v>330195.3</v>
      </c>
    </row>
    <row r="867" spans="1:7" ht="47.25" outlineLevel="3" x14ac:dyDescent="0.25">
      <c r="A867" s="11" t="s">
        <v>94</v>
      </c>
      <c r="B867" s="16" t="s">
        <v>106</v>
      </c>
      <c r="C867" s="16" t="s">
        <v>109</v>
      </c>
      <c r="D867" s="16" t="s">
        <v>95</v>
      </c>
      <c r="E867" s="10">
        <f>377615-80.9+11827.9+6656.7</f>
        <v>396018.7</v>
      </c>
      <c r="F867" s="10">
        <v>312470.7</v>
      </c>
      <c r="G867" s="10">
        <v>330195.3</v>
      </c>
    </row>
    <row r="868" spans="1:7" ht="31.5" outlineLevel="2" collapsed="1" x14ac:dyDescent="0.25">
      <c r="A868" s="11" t="s">
        <v>110</v>
      </c>
      <c r="B868" s="16" t="s">
        <v>111</v>
      </c>
      <c r="C868" s="16"/>
      <c r="D868" s="16"/>
      <c r="E868" s="10">
        <f>E869</f>
        <v>93369.10000000002</v>
      </c>
      <c r="F868" s="10">
        <f t="shared" ref="F868:G868" si="322">F869</f>
        <v>91007.3</v>
      </c>
      <c r="G868" s="10">
        <f t="shared" si="322"/>
        <v>91703.699999999983</v>
      </c>
    </row>
    <row r="869" spans="1:7" ht="31.5" outlineLevel="1" x14ac:dyDescent="0.25">
      <c r="A869" s="11" t="s">
        <v>152</v>
      </c>
      <c r="B869" s="16" t="s">
        <v>111</v>
      </c>
      <c r="C869" s="16" t="s">
        <v>96</v>
      </c>
      <c r="D869" s="16"/>
      <c r="E869" s="10">
        <f>E870+E874</f>
        <v>93369.10000000002</v>
      </c>
      <c r="F869" s="10">
        <f t="shared" ref="F869:G869" si="323">F870+F874</f>
        <v>91007.3</v>
      </c>
      <c r="G869" s="10">
        <f t="shared" si="323"/>
        <v>91703.699999999983</v>
      </c>
    </row>
    <row r="870" spans="1:7" ht="31.5" outlineLevel="1" x14ac:dyDescent="0.25">
      <c r="A870" s="11" t="s">
        <v>154</v>
      </c>
      <c r="B870" s="16" t="s">
        <v>111</v>
      </c>
      <c r="C870" s="16" t="s">
        <v>97</v>
      </c>
      <c r="D870" s="16"/>
      <c r="E870" s="10">
        <f>E871</f>
        <v>1576</v>
      </c>
      <c r="F870" s="10">
        <f t="shared" ref="F870:G870" si="324">F871</f>
        <v>1414.4</v>
      </c>
      <c r="G870" s="10">
        <f t="shared" si="324"/>
        <v>1414.4</v>
      </c>
    </row>
    <row r="871" spans="1:7" ht="47.25" outlineLevel="1" x14ac:dyDescent="0.25">
      <c r="A871" s="11" t="s">
        <v>155</v>
      </c>
      <c r="B871" s="16" t="s">
        <v>111</v>
      </c>
      <c r="C871" s="16" t="s">
        <v>98</v>
      </c>
      <c r="D871" s="16"/>
      <c r="E871" s="10">
        <f>E872</f>
        <v>1576</v>
      </c>
      <c r="F871" s="10">
        <f>F872</f>
        <v>1414.4</v>
      </c>
      <c r="G871" s="10">
        <f>G872</f>
        <v>1414.4</v>
      </c>
    </row>
    <row r="872" spans="1:7" ht="126" outlineLevel="1" x14ac:dyDescent="0.25">
      <c r="A872" s="11" t="s">
        <v>156</v>
      </c>
      <c r="B872" s="16" t="s">
        <v>111</v>
      </c>
      <c r="C872" s="16" t="s">
        <v>157</v>
      </c>
      <c r="D872" s="16"/>
      <c r="E872" s="10">
        <f>E873</f>
        <v>1576</v>
      </c>
      <c r="F872" s="10">
        <f>F873</f>
        <v>1414.4</v>
      </c>
      <c r="G872" s="10">
        <f>G873</f>
        <v>1414.4</v>
      </c>
    </row>
    <row r="873" spans="1:7" ht="47.25" outlineLevel="1" x14ac:dyDescent="0.25">
      <c r="A873" s="11" t="s">
        <v>94</v>
      </c>
      <c r="B873" s="16" t="s">
        <v>111</v>
      </c>
      <c r="C873" s="16" t="s">
        <v>157</v>
      </c>
      <c r="D873" s="16">
        <v>600</v>
      </c>
      <c r="E873" s="10">
        <v>1576</v>
      </c>
      <c r="F873" s="10">
        <v>1414.4</v>
      </c>
      <c r="G873" s="10">
        <v>1414.4</v>
      </c>
    </row>
    <row r="874" spans="1:7" outlineLevel="1" x14ac:dyDescent="0.25">
      <c r="A874" s="11" t="s">
        <v>144</v>
      </c>
      <c r="B874" s="16" t="s">
        <v>111</v>
      </c>
      <c r="C874" s="16" t="s">
        <v>107</v>
      </c>
      <c r="D874" s="16"/>
      <c r="E874" s="10">
        <f>E875+E881+E886</f>
        <v>91793.10000000002</v>
      </c>
      <c r="F874" s="10">
        <f t="shared" ref="F874:G874" si="325">F875+F881+F886</f>
        <v>89592.900000000009</v>
      </c>
      <c r="G874" s="10">
        <f t="shared" si="325"/>
        <v>90289.299999999988</v>
      </c>
    </row>
    <row r="875" spans="1:7" ht="78.75" outlineLevel="1" x14ac:dyDescent="0.25">
      <c r="A875" s="11" t="s">
        <v>153</v>
      </c>
      <c r="B875" s="16" t="s">
        <v>111</v>
      </c>
      <c r="C875" s="16" t="s">
        <v>108</v>
      </c>
      <c r="D875" s="16"/>
      <c r="E875" s="10">
        <f>E876+E879</f>
        <v>89322.400000000009</v>
      </c>
      <c r="F875" s="10">
        <f t="shared" ref="F875:G875" si="326">F876+F879</f>
        <v>89077.900000000009</v>
      </c>
      <c r="G875" s="10">
        <f t="shared" si="326"/>
        <v>89774.299999999988</v>
      </c>
    </row>
    <row r="876" spans="1:7" ht="47.25" outlineLevel="1" x14ac:dyDescent="0.25">
      <c r="A876" s="11" t="s">
        <v>158</v>
      </c>
      <c r="B876" s="16" t="s">
        <v>111</v>
      </c>
      <c r="C876" s="16" t="s">
        <v>159</v>
      </c>
      <c r="D876" s="16"/>
      <c r="E876" s="10">
        <f>E877+E878</f>
        <v>15066.8</v>
      </c>
      <c r="F876" s="10">
        <f t="shared" ref="F876:G876" si="327">F877+F878</f>
        <v>14142.3</v>
      </c>
      <c r="G876" s="10">
        <f t="shared" si="327"/>
        <v>14131.4</v>
      </c>
    </row>
    <row r="877" spans="1:7" ht="84.75" customHeight="1" outlineLevel="1" x14ac:dyDescent="0.25">
      <c r="A877" s="11" t="s">
        <v>75</v>
      </c>
      <c r="B877" s="16" t="s">
        <v>111</v>
      </c>
      <c r="C877" s="16" t="s">
        <v>159</v>
      </c>
      <c r="D877" s="16" t="s">
        <v>38</v>
      </c>
      <c r="E877" s="10">
        <f>14436.4+19.4</f>
        <v>14455.8</v>
      </c>
      <c r="F877" s="10">
        <v>13623.3</v>
      </c>
      <c r="G877" s="10">
        <v>13623.3</v>
      </c>
    </row>
    <row r="878" spans="1:7" ht="32.25" customHeight="1" outlineLevel="1" x14ac:dyDescent="0.25">
      <c r="A878" s="11" t="s">
        <v>76</v>
      </c>
      <c r="B878" s="16" t="s">
        <v>111</v>
      </c>
      <c r="C878" s="16" t="s">
        <v>159</v>
      </c>
      <c r="D878" s="16" t="s">
        <v>39</v>
      </c>
      <c r="E878" s="10">
        <v>611</v>
      </c>
      <c r="F878" s="10">
        <v>519</v>
      </c>
      <c r="G878" s="10">
        <v>508.1</v>
      </c>
    </row>
    <row r="879" spans="1:7" ht="33.75" customHeight="1" outlineLevel="1" x14ac:dyDescent="0.25">
      <c r="A879" s="11" t="s">
        <v>150</v>
      </c>
      <c r="B879" s="16" t="s">
        <v>111</v>
      </c>
      <c r="C879" s="16" t="s">
        <v>109</v>
      </c>
      <c r="D879" s="16"/>
      <c r="E879" s="10">
        <f>E880</f>
        <v>74255.600000000006</v>
      </c>
      <c r="F879" s="10">
        <f>F880</f>
        <v>74935.600000000006</v>
      </c>
      <c r="G879" s="10">
        <f>G880</f>
        <v>75642.899999999994</v>
      </c>
    </row>
    <row r="880" spans="1:7" ht="47.25" outlineLevel="1" x14ac:dyDescent="0.25">
      <c r="A880" s="11" t="s">
        <v>94</v>
      </c>
      <c r="B880" s="16" t="s">
        <v>111</v>
      </c>
      <c r="C880" s="16" t="s">
        <v>109</v>
      </c>
      <c r="D880" s="16" t="s">
        <v>95</v>
      </c>
      <c r="E880" s="10">
        <v>74255.600000000006</v>
      </c>
      <c r="F880" s="10">
        <v>74935.600000000006</v>
      </c>
      <c r="G880" s="10">
        <v>75642.899999999994</v>
      </c>
    </row>
    <row r="881" spans="1:7" ht="47.25" outlineLevel="1" x14ac:dyDescent="0.25">
      <c r="A881" s="11" t="s">
        <v>500</v>
      </c>
      <c r="B881" s="16" t="s">
        <v>111</v>
      </c>
      <c r="C881" s="16" t="s">
        <v>160</v>
      </c>
      <c r="D881" s="16"/>
      <c r="E881" s="10">
        <f>E882+E884</f>
        <v>1763.6</v>
      </c>
      <c r="F881" s="10">
        <f t="shared" ref="F881:G881" si="328">F882+F884</f>
        <v>0</v>
      </c>
      <c r="G881" s="10">
        <f t="shared" si="328"/>
        <v>0</v>
      </c>
    </row>
    <row r="882" spans="1:7" ht="31.5" outlineLevel="1" x14ac:dyDescent="0.25">
      <c r="A882" s="11" t="s">
        <v>161</v>
      </c>
      <c r="B882" s="16" t="s">
        <v>111</v>
      </c>
      <c r="C882" s="16" t="s">
        <v>162</v>
      </c>
      <c r="D882" s="16"/>
      <c r="E882" s="10">
        <f>E883</f>
        <v>482.2</v>
      </c>
      <c r="F882" s="10">
        <f t="shared" ref="F882:G882" si="329">F883</f>
        <v>0</v>
      </c>
      <c r="G882" s="10">
        <f t="shared" si="329"/>
        <v>0</v>
      </c>
    </row>
    <row r="883" spans="1:7" ht="31.5" outlineLevel="1" x14ac:dyDescent="0.25">
      <c r="A883" s="11" t="s">
        <v>76</v>
      </c>
      <c r="B883" s="16" t="s">
        <v>111</v>
      </c>
      <c r="C883" s="16" t="s">
        <v>162</v>
      </c>
      <c r="D883" s="16" t="s">
        <v>39</v>
      </c>
      <c r="E883" s="10">
        <v>482.2</v>
      </c>
      <c r="F883" s="10">
        <f>565.8-565.8</f>
        <v>0</v>
      </c>
      <c r="G883" s="10">
        <f>565.8-565.8</f>
        <v>0</v>
      </c>
    </row>
    <row r="884" spans="1:7" ht="47.25" outlineLevel="1" x14ac:dyDescent="0.25">
      <c r="A884" s="11" t="s">
        <v>163</v>
      </c>
      <c r="B884" s="16" t="s">
        <v>111</v>
      </c>
      <c r="C884" s="16" t="s">
        <v>164</v>
      </c>
      <c r="D884" s="16"/>
      <c r="E884" s="10">
        <f>E885</f>
        <v>1281.3999999999999</v>
      </c>
      <c r="F884" s="10">
        <f t="shared" ref="F884:G884" si="330">F885</f>
        <v>0</v>
      </c>
      <c r="G884" s="10">
        <f t="shared" si="330"/>
        <v>0</v>
      </c>
    </row>
    <row r="885" spans="1:7" ht="47.25" outlineLevel="1" x14ac:dyDescent="0.25">
      <c r="A885" s="11" t="s">
        <v>94</v>
      </c>
      <c r="B885" s="16" t="s">
        <v>111</v>
      </c>
      <c r="C885" s="16" t="s">
        <v>164</v>
      </c>
      <c r="D885" s="16">
        <v>600</v>
      </c>
      <c r="E885" s="10">
        <f>1281.3+0.1</f>
        <v>1281.3999999999999</v>
      </c>
      <c r="F885" s="10">
        <f>603.2-603.2</f>
        <v>0</v>
      </c>
      <c r="G885" s="10">
        <f>603.2-603.2</f>
        <v>0</v>
      </c>
    </row>
    <row r="886" spans="1:7" ht="47.25" outlineLevel="1" x14ac:dyDescent="0.25">
      <c r="A886" s="11" t="s">
        <v>165</v>
      </c>
      <c r="B886" s="16" t="s">
        <v>111</v>
      </c>
      <c r="C886" s="16" t="s">
        <v>166</v>
      </c>
      <c r="D886" s="30"/>
      <c r="E886" s="10">
        <f>E887+E889</f>
        <v>707.1</v>
      </c>
      <c r="F886" s="10">
        <f t="shared" ref="F886:G886" si="331">F887+F889</f>
        <v>515</v>
      </c>
      <c r="G886" s="10">
        <f t="shared" si="331"/>
        <v>515</v>
      </c>
    </row>
    <row r="887" spans="1:7" ht="49.5" customHeight="1" outlineLevel="1" x14ac:dyDescent="0.25">
      <c r="A887" s="40" t="s">
        <v>167</v>
      </c>
      <c r="B887" s="16" t="s">
        <v>111</v>
      </c>
      <c r="C887" s="16" t="s">
        <v>501</v>
      </c>
      <c r="D887" s="16"/>
      <c r="E887" s="10">
        <f>E888</f>
        <v>408.1</v>
      </c>
      <c r="F887" s="10">
        <f>F888</f>
        <v>216</v>
      </c>
      <c r="G887" s="10">
        <f>G888</f>
        <v>216</v>
      </c>
    </row>
    <row r="888" spans="1:7" ht="31.5" outlineLevel="1" x14ac:dyDescent="0.25">
      <c r="A888" s="40" t="s">
        <v>20</v>
      </c>
      <c r="B888" s="16" t="s">
        <v>111</v>
      </c>
      <c r="C888" s="16" t="s">
        <v>501</v>
      </c>
      <c r="D888" s="16">
        <v>300</v>
      </c>
      <c r="E888" s="10">
        <v>408.1</v>
      </c>
      <c r="F888" s="10">
        <v>216</v>
      </c>
      <c r="G888" s="10">
        <v>216</v>
      </c>
    </row>
    <row r="889" spans="1:7" ht="47.25" outlineLevel="1" x14ac:dyDescent="0.25">
      <c r="A889" s="11" t="s">
        <v>168</v>
      </c>
      <c r="B889" s="16" t="s">
        <v>111</v>
      </c>
      <c r="C889" s="16" t="s">
        <v>169</v>
      </c>
      <c r="D889" s="16"/>
      <c r="E889" s="10">
        <f>E890+E891</f>
        <v>299</v>
      </c>
      <c r="F889" s="10">
        <f t="shared" ref="F889:G889" si="332">F890+F891</f>
        <v>299</v>
      </c>
      <c r="G889" s="10">
        <f t="shared" si="332"/>
        <v>299</v>
      </c>
    </row>
    <row r="890" spans="1:7" ht="33" customHeight="1" outlineLevel="1" x14ac:dyDescent="0.25">
      <c r="A890" s="40" t="s">
        <v>20</v>
      </c>
      <c r="B890" s="16" t="s">
        <v>111</v>
      </c>
      <c r="C890" s="16" t="s">
        <v>170</v>
      </c>
      <c r="D890" s="16">
        <v>300</v>
      </c>
      <c r="E890" s="10">
        <v>99</v>
      </c>
      <c r="F890" s="10">
        <v>299</v>
      </c>
      <c r="G890" s="10">
        <v>299</v>
      </c>
    </row>
    <row r="891" spans="1:7" ht="48.75" customHeight="1" outlineLevel="1" x14ac:dyDescent="0.25">
      <c r="A891" s="11" t="s">
        <v>94</v>
      </c>
      <c r="B891" s="9" t="s">
        <v>111</v>
      </c>
      <c r="C891" s="9" t="s">
        <v>170</v>
      </c>
      <c r="D891" s="9" t="s">
        <v>95</v>
      </c>
      <c r="E891" s="10">
        <v>200</v>
      </c>
      <c r="F891" s="10">
        <v>0</v>
      </c>
      <c r="G891" s="10">
        <v>0</v>
      </c>
    </row>
    <row r="892" spans="1:7" x14ac:dyDescent="0.25">
      <c r="A892" s="72" t="s">
        <v>119</v>
      </c>
      <c r="B892" s="6" t="s">
        <v>120</v>
      </c>
      <c r="C892" s="6"/>
      <c r="D892" s="7"/>
      <c r="E892" s="91">
        <f>E893+E897+E912</f>
        <v>416630.99999999994</v>
      </c>
      <c r="F892" s="91">
        <f>F893+F897+F912</f>
        <v>372779.7</v>
      </c>
      <c r="G892" s="91">
        <f>G893+G897+G912</f>
        <v>387789.7</v>
      </c>
    </row>
    <row r="893" spans="1:7" outlineLevel="1" x14ac:dyDescent="0.25">
      <c r="A893" s="42" t="s">
        <v>121</v>
      </c>
      <c r="B893" s="9" t="s">
        <v>122</v>
      </c>
      <c r="C893" s="9"/>
      <c r="D893" s="5"/>
      <c r="E893" s="10">
        <f>E894</f>
        <v>11906</v>
      </c>
      <c r="F893" s="10">
        <f t="shared" ref="F893:G895" si="333">F894</f>
        <v>12159.6</v>
      </c>
      <c r="G893" s="10">
        <f t="shared" si="333"/>
        <v>12159.6</v>
      </c>
    </row>
    <row r="894" spans="1:7" outlineLevel="2" x14ac:dyDescent="0.25">
      <c r="A894" s="42" t="s">
        <v>9</v>
      </c>
      <c r="B894" s="9" t="s">
        <v>122</v>
      </c>
      <c r="C894" s="9" t="s">
        <v>10</v>
      </c>
      <c r="D894" s="5"/>
      <c r="E894" s="10">
        <f>E895</f>
        <v>11906</v>
      </c>
      <c r="F894" s="10">
        <f t="shared" si="333"/>
        <v>12159.6</v>
      </c>
      <c r="G894" s="10">
        <f t="shared" si="333"/>
        <v>12159.6</v>
      </c>
    </row>
    <row r="895" spans="1:7" outlineLevel="2" x14ac:dyDescent="0.25">
      <c r="A895" s="42" t="s">
        <v>123</v>
      </c>
      <c r="B895" s="9" t="s">
        <v>122</v>
      </c>
      <c r="C895" s="9" t="s">
        <v>124</v>
      </c>
      <c r="D895" s="5"/>
      <c r="E895" s="10">
        <f>E896</f>
        <v>11906</v>
      </c>
      <c r="F895" s="10">
        <f t="shared" si="333"/>
        <v>12159.6</v>
      </c>
      <c r="G895" s="10">
        <f t="shared" si="333"/>
        <v>12159.6</v>
      </c>
    </row>
    <row r="896" spans="1:7" ht="31.5" outlineLevel="2" x14ac:dyDescent="0.25">
      <c r="A896" s="42" t="s">
        <v>20</v>
      </c>
      <c r="B896" s="9" t="s">
        <v>122</v>
      </c>
      <c r="C896" s="9" t="s">
        <v>124</v>
      </c>
      <c r="D896" s="5">
        <v>300</v>
      </c>
      <c r="E896" s="10">
        <f>11909-3</f>
        <v>11906</v>
      </c>
      <c r="F896" s="10">
        <v>12159.6</v>
      </c>
      <c r="G896" s="10">
        <v>12159.6</v>
      </c>
    </row>
    <row r="897" spans="1:7" outlineLevel="1" x14ac:dyDescent="0.25">
      <c r="A897" s="42" t="s">
        <v>125</v>
      </c>
      <c r="B897" s="9" t="s">
        <v>126</v>
      </c>
      <c r="C897" s="9"/>
      <c r="D897" s="5"/>
      <c r="E897" s="10">
        <f>E898+E903</f>
        <v>24355.5</v>
      </c>
      <c r="F897" s="10">
        <f>F898+F903</f>
        <v>16159.2</v>
      </c>
      <c r="G897" s="10">
        <f>G898+G903</f>
        <v>17055.900000000001</v>
      </c>
    </row>
    <row r="898" spans="1:7" outlineLevel="2" x14ac:dyDescent="0.25">
      <c r="A898" s="42" t="s">
        <v>9</v>
      </c>
      <c r="B898" s="9" t="s">
        <v>126</v>
      </c>
      <c r="C898" s="9" t="s">
        <v>10</v>
      </c>
      <c r="D898" s="5"/>
      <c r="E898" s="10">
        <f>E899+E901</f>
        <v>4944.2999999999993</v>
      </c>
      <c r="F898" s="10">
        <f t="shared" ref="F898:G898" si="334">F899+F901</f>
        <v>5532.5</v>
      </c>
      <c r="G898" s="10">
        <f t="shared" si="334"/>
        <v>6087.4</v>
      </c>
    </row>
    <row r="899" spans="1:7" ht="31.5" outlineLevel="2" x14ac:dyDescent="0.25">
      <c r="A899" s="42" t="s">
        <v>127</v>
      </c>
      <c r="B899" s="9" t="s">
        <v>126</v>
      </c>
      <c r="C899" s="9" t="s">
        <v>128</v>
      </c>
      <c r="D899" s="5"/>
      <c r="E899" s="10">
        <f>E900</f>
        <v>2530.5</v>
      </c>
      <c r="F899" s="10">
        <f t="shared" ref="F899:G899" si="335">F900</f>
        <v>2894.5</v>
      </c>
      <c r="G899" s="10">
        <f t="shared" si="335"/>
        <v>3104.5</v>
      </c>
    </row>
    <row r="900" spans="1:7" ht="31.5" outlineLevel="2" x14ac:dyDescent="0.25">
      <c r="A900" s="42" t="s">
        <v>20</v>
      </c>
      <c r="B900" s="9" t="s">
        <v>126</v>
      </c>
      <c r="C900" s="9" t="s">
        <v>128</v>
      </c>
      <c r="D900" s="5">
        <v>300</v>
      </c>
      <c r="E900" s="10">
        <f>2558.5-28</f>
        <v>2530.5</v>
      </c>
      <c r="F900" s="10">
        <v>2894.5</v>
      </c>
      <c r="G900" s="10">
        <v>3104.5</v>
      </c>
    </row>
    <row r="901" spans="1:7" ht="47.25" outlineLevel="2" x14ac:dyDescent="0.25">
      <c r="A901" s="42" t="s">
        <v>129</v>
      </c>
      <c r="B901" s="9" t="s">
        <v>126</v>
      </c>
      <c r="C901" s="9" t="s">
        <v>130</v>
      </c>
      <c r="D901" s="5"/>
      <c r="E901" s="10">
        <f>E902</f>
        <v>2413.7999999999997</v>
      </c>
      <c r="F901" s="10">
        <f t="shared" ref="F901:G901" si="336">F902</f>
        <v>2638</v>
      </c>
      <c r="G901" s="10">
        <f t="shared" si="336"/>
        <v>2982.9</v>
      </c>
    </row>
    <row r="902" spans="1:7" ht="31.5" outlineLevel="2" x14ac:dyDescent="0.25">
      <c r="A902" s="42" t="s">
        <v>20</v>
      </c>
      <c r="B902" s="9" t="s">
        <v>126</v>
      </c>
      <c r="C902" s="9" t="s">
        <v>130</v>
      </c>
      <c r="D902" s="5">
        <v>300</v>
      </c>
      <c r="E902" s="10">
        <f>2465.6-51.8</f>
        <v>2413.7999999999997</v>
      </c>
      <c r="F902" s="10">
        <v>2638</v>
      </c>
      <c r="G902" s="10">
        <v>2982.9</v>
      </c>
    </row>
    <row r="903" spans="1:7" ht="47.25" outlineLevel="2" x14ac:dyDescent="0.25">
      <c r="A903" s="46" t="s">
        <v>59</v>
      </c>
      <c r="B903" s="12" t="s">
        <v>126</v>
      </c>
      <c r="C903" s="12" t="s">
        <v>60</v>
      </c>
      <c r="D903" s="13"/>
      <c r="E903" s="10">
        <f>E904</f>
        <v>19411.2</v>
      </c>
      <c r="F903" s="10">
        <f t="shared" ref="F903:G904" si="337">F904</f>
        <v>10626.7</v>
      </c>
      <c r="G903" s="10">
        <f t="shared" si="337"/>
        <v>10968.500000000002</v>
      </c>
    </row>
    <row r="904" spans="1:7" ht="17.25" customHeight="1" outlineLevel="2" x14ac:dyDescent="0.25">
      <c r="A904" s="47" t="s">
        <v>154</v>
      </c>
      <c r="B904" s="16" t="s">
        <v>126</v>
      </c>
      <c r="C904" s="16" t="s">
        <v>448</v>
      </c>
      <c r="D904" s="13"/>
      <c r="E904" s="10">
        <f>E905</f>
        <v>19411.2</v>
      </c>
      <c r="F904" s="10">
        <f t="shared" si="337"/>
        <v>10626.7</v>
      </c>
      <c r="G904" s="10">
        <f t="shared" si="337"/>
        <v>10968.500000000002</v>
      </c>
    </row>
    <row r="905" spans="1:7" ht="47.25" outlineLevel="2" x14ac:dyDescent="0.25">
      <c r="A905" s="46" t="s">
        <v>495</v>
      </c>
      <c r="B905" s="12" t="s">
        <v>126</v>
      </c>
      <c r="C905" s="12" t="s">
        <v>449</v>
      </c>
      <c r="D905" s="13"/>
      <c r="E905" s="10">
        <f>E906+E908+E910</f>
        <v>19411.2</v>
      </c>
      <c r="F905" s="10">
        <f t="shared" ref="F905:G905" si="338">F906+F908+F910</f>
        <v>10626.7</v>
      </c>
      <c r="G905" s="10">
        <f t="shared" si="338"/>
        <v>10968.500000000002</v>
      </c>
    </row>
    <row r="906" spans="1:7" ht="78.75" outlineLevel="2" x14ac:dyDescent="0.25">
      <c r="A906" s="46" t="s">
        <v>450</v>
      </c>
      <c r="B906" s="12" t="s">
        <v>451</v>
      </c>
      <c r="C906" s="12" t="s">
        <v>452</v>
      </c>
      <c r="D906" s="13"/>
      <c r="E906" s="10">
        <f>E907</f>
        <v>2384.1999999999998</v>
      </c>
      <c r="F906" s="10">
        <f t="shared" ref="F906:G906" si="339">F907</f>
        <v>335.1</v>
      </c>
      <c r="G906" s="10">
        <f t="shared" si="339"/>
        <v>335.1</v>
      </c>
    </row>
    <row r="907" spans="1:7" ht="31.5" outlineLevel="2" x14ac:dyDescent="0.25">
      <c r="A907" s="46" t="s">
        <v>20</v>
      </c>
      <c r="B907" s="12" t="s">
        <v>451</v>
      </c>
      <c r="C907" s="12" t="s">
        <v>452</v>
      </c>
      <c r="D907" s="13">
        <v>300</v>
      </c>
      <c r="E907" s="10">
        <f>1675.6+1508.6-800</f>
        <v>2384.1999999999998</v>
      </c>
      <c r="F907" s="10">
        <v>335.1</v>
      </c>
      <c r="G907" s="10">
        <v>335.1</v>
      </c>
    </row>
    <row r="908" spans="1:7" ht="31.5" outlineLevel="2" x14ac:dyDescent="0.25">
      <c r="A908" s="46" t="s">
        <v>453</v>
      </c>
      <c r="B908" s="12" t="s">
        <v>126</v>
      </c>
      <c r="C908" s="12" t="s">
        <v>454</v>
      </c>
      <c r="D908" s="13"/>
      <c r="E908" s="10">
        <f>E909</f>
        <v>4977</v>
      </c>
      <c r="F908" s="10">
        <f>F909</f>
        <v>8956.6</v>
      </c>
      <c r="G908" s="10">
        <f>G909</f>
        <v>9320.2000000000007</v>
      </c>
    </row>
    <row r="909" spans="1:7" ht="31.5" outlineLevel="2" x14ac:dyDescent="0.25">
      <c r="A909" s="11" t="s">
        <v>20</v>
      </c>
      <c r="B909" s="12" t="s">
        <v>126</v>
      </c>
      <c r="C909" s="12" t="s">
        <v>454</v>
      </c>
      <c r="D909" s="13">
        <v>300</v>
      </c>
      <c r="E909" s="10">
        <f>5036.7-59.7</f>
        <v>4977</v>
      </c>
      <c r="F909" s="10">
        <v>8956.6</v>
      </c>
      <c r="G909" s="10">
        <v>9320.2000000000007</v>
      </c>
    </row>
    <row r="910" spans="1:7" ht="110.25" outlineLevel="2" x14ac:dyDescent="0.25">
      <c r="A910" s="38" t="s">
        <v>455</v>
      </c>
      <c r="B910" s="12" t="s">
        <v>126</v>
      </c>
      <c r="C910" s="1" t="s">
        <v>456</v>
      </c>
      <c r="D910" s="13"/>
      <c r="E910" s="10">
        <f>E911</f>
        <v>12050</v>
      </c>
      <c r="F910" s="10">
        <f>F911</f>
        <v>1335</v>
      </c>
      <c r="G910" s="10">
        <f>G911</f>
        <v>1313.2</v>
      </c>
    </row>
    <row r="911" spans="1:7" ht="31.5" outlineLevel="2" x14ac:dyDescent="0.25">
      <c r="A911" s="11" t="s">
        <v>20</v>
      </c>
      <c r="B911" s="12" t="s">
        <v>126</v>
      </c>
      <c r="C911" s="1" t="s">
        <v>456</v>
      </c>
      <c r="D911" s="13">
        <v>300</v>
      </c>
      <c r="E911" s="10">
        <f>25500-807-12643</f>
        <v>12050</v>
      </c>
      <c r="F911" s="10">
        <v>1335</v>
      </c>
      <c r="G911" s="10">
        <v>1313.2</v>
      </c>
    </row>
    <row r="912" spans="1:7" outlineLevel="1" collapsed="1" x14ac:dyDescent="0.25">
      <c r="A912" s="11" t="s">
        <v>136</v>
      </c>
      <c r="B912" s="9" t="s">
        <v>137</v>
      </c>
      <c r="C912" s="9"/>
      <c r="D912" s="9"/>
      <c r="E912" s="10">
        <f>E926+E913</f>
        <v>380369.49999999994</v>
      </c>
      <c r="F912" s="10">
        <f t="shared" ref="F912:G912" si="340">F926+F913</f>
        <v>344460.9</v>
      </c>
      <c r="G912" s="10">
        <f t="shared" si="340"/>
        <v>358574.2</v>
      </c>
    </row>
    <row r="913" spans="1:7" ht="47.25" outlineLevel="1" x14ac:dyDescent="0.25">
      <c r="A913" s="48" t="s">
        <v>59</v>
      </c>
      <c r="B913" s="12" t="s">
        <v>137</v>
      </c>
      <c r="C913" s="12" t="s">
        <v>60</v>
      </c>
      <c r="D913" s="1"/>
      <c r="E913" s="10">
        <f>E920+E914</f>
        <v>155591.09999999998</v>
      </c>
      <c r="F913" s="10">
        <f t="shared" ref="F913:G913" si="341">F920+F914</f>
        <v>99956.6</v>
      </c>
      <c r="G913" s="10">
        <f t="shared" si="341"/>
        <v>112539.1</v>
      </c>
    </row>
    <row r="914" spans="1:7" ht="19.5" customHeight="1" outlineLevel="1" x14ac:dyDescent="0.25">
      <c r="A914" s="47" t="s">
        <v>154</v>
      </c>
      <c r="B914" s="16" t="s">
        <v>137</v>
      </c>
      <c r="C914" s="16" t="s">
        <v>448</v>
      </c>
      <c r="D914" s="12"/>
      <c r="E914" s="10">
        <f>E915</f>
        <v>154663.09999999998</v>
      </c>
      <c r="F914" s="10">
        <f t="shared" ref="F914:G918" si="342">F915</f>
        <v>98162.200000000012</v>
      </c>
      <c r="G914" s="10">
        <f t="shared" si="342"/>
        <v>110669.3</v>
      </c>
    </row>
    <row r="915" spans="1:7" ht="47.25" outlineLevel="1" x14ac:dyDescent="0.25">
      <c r="A915" s="46" t="s">
        <v>495</v>
      </c>
      <c r="B915" s="12" t="s">
        <v>137</v>
      </c>
      <c r="C915" s="12" t="s">
        <v>449</v>
      </c>
      <c r="D915" s="12"/>
      <c r="E915" s="10">
        <f>E918+E916</f>
        <v>154663.09999999998</v>
      </c>
      <c r="F915" s="10">
        <f t="shared" ref="F915:G915" si="343">F918+F916</f>
        <v>98162.200000000012</v>
      </c>
      <c r="G915" s="10">
        <f t="shared" si="343"/>
        <v>110669.3</v>
      </c>
    </row>
    <row r="916" spans="1:7" ht="113.25" customHeight="1" outlineLevel="1" x14ac:dyDescent="0.25">
      <c r="A916" s="40" t="s">
        <v>613</v>
      </c>
      <c r="B916" s="12" t="s">
        <v>137</v>
      </c>
      <c r="C916" s="9" t="s">
        <v>614</v>
      </c>
      <c r="D916" s="9"/>
      <c r="E916" s="10">
        <f>E917</f>
        <v>89965.9</v>
      </c>
      <c r="F916" s="10">
        <f t="shared" ref="F916:G916" si="344">F917</f>
        <v>0</v>
      </c>
      <c r="G916" s="10">
        <f t="shared" si="344"/>
        <v>0</v>
      </c>
    </row>
    <row r="917" spans="1:7" ht="36.75" customHeight="1" outlineLevel="1" x14ac:dyDescent="0.25">
      <c r="A917" s="40" t="s">
        <v>308</v>
      </c>
      <c r="B917" s="12" t="s">
        <v>137</v>
      </c>
      <c r="C917" s="9" t="s">
        <v>614</v>
      </c>
      <c r="D917" s="9" t="s">
        <v>461</v>
      </c>
      <c r="E917" s="10">
        <f>92181.4-2215.5</f>
        <v>89965.9</v>
      </c>
      <c r="F917" s="10">
        <v>0</v>
      </c>
      <c r="G917" s="10">
        <v>0</v>
      </c>
    </row>
    <row r="918" spans="1:7" ht="63" outlineLevel="1" x14ac:dyDescent="0.25">
      <c r="A918" s="40" t="s">
        <v>624</v>
      </c>
      <c r="B918" s="12" t="s">
        <v>137</v>
      </c>
      <c r="C918" s="9" t="s">
        <v>460</v>
      </c>
      <c r="D918" s="12"/>
      <c r="E918" s="10">
        <f>E919</f>
        <v>64697.2</v>
      </c>
      <c r="F918" s="10">
        <f t="shared" si="342"/>
        <v>98162.200000000012</v>
      </c>
      <c r="G918" s="10">
        <f t="shared" si="342"/>
        <v>110669.3</v>
      </c>
    </row>
    <row r="919" spans="1:7" ht="34.5" customHeight="1" outlineLevel="1" x14ac:dyDescent="0.25">
      <c r="A919" s="50" t="s">
        <v>308</v>
      </c>
      <c r="B919" s="12" t="s">
        <v>137</v>
      </c>
      <c r="C919" s="9" t="s">
        <v>460</v>
      </c>
      <c r="D919" s="12" t="s">
        <v>461</v>
      </c>
      <c r="E919" s="10">
        <f>65993-1295.8</f>
        <v>64697.2</v>
      </c>
      <c r="F919" s="10">
        <v>98162.200000000012</v>
      </c>
      <c r="G919" s="10">
        <v>110669.3</v>
      </c>
    </row>
    <row r="920" spans="1:7" outlineLevel="1" x14ac:dyDescent="0.25">
      <c r="A920" s="47" t="s">
        <v>144</v>
      </c>
      <c r="B920" s="12" t="s">
        <v>137</v>
      </c>
      <c r="C920" s="12" t="s">
        <v>135</v>
      </c>
      <c r="D920" s="1"/>
      <c r="E920" s="10">
        <f>E921</f>
        <v>928</v>
      </c>
      <c r="F920" s="10">
        <f t="shared" ref="F920:G920" si="345">F921</f>
        <v>1794.4</v>
      </c>
      <c r="G920" s="10">
        <f t="shared" si="345"/>
        <v>1869.8</v>
      </c>
    </row>
    <row r="921" spans="1:7" ht="78.75" outlineLevel="1" x14ac:dyDescent="0.25">
      <c r="A921" s="40" t="s">
        <v>496</v>
      </c>
      <c r="B921" s="12" t="s">
        <v>137</v>
      </c>
      <c r="C921" s="9" t="s">
        <v>457</v>
      </c>
      <c r="D921" s="1"/>
      <c r="E921" s="10">
        <f>E922+E924</f>
        <v>928</v>
      </c>
      <c r="F921" s="10">
        <f t="shared" ref="F921:G921" si="346">F922+F924</f>
        <v>1794.4</v>
      </c>
      <c r="G921" s="10">
        <f t="shared" si="346"/>
        <v>1869.8</v>
      </c>
    </row>
    <row r="922" spans="1:7" ht="97.5" customHeight="1" outlineLevel="1" x14ac:dyDescent="0.25">
      <c r="A922" s="47" t="s">
        <v>458</v>
      </c>
      <c r="B922" s="12" t="s">
        <v>137</v>
      </c>
      <c r="C922" s="9" t="s">
        <v>459</v>
      </c>
      <c r="D922" s="1"/>
      <c r="E922" s="10">
        <f>E923</f>
        <v>0</v>
      </c>
      <c r="F922" s="10">
        <f t="shared" ref="F922:G922" si="347">F923</f>
        <v>1205.8</v>
      </c>
      <c r="G922" s="10">
        <f t="shared" si="347"/>
        <v>1205.8</v>
      </c>
    </row>
    <row r="923" spans="1:7" ht="31.5" outlineLevel="1" x14ac:dyDescent="0.25">
      <c r="A923" s="42" t="s">
        <v>20</v>
      </c>
      <c r="B923" s="9" t="s">
        <v>137</v>
      </c>
      <c r="C923" s="9" t="s">
        <v>459</v>
      </c>
      <c r="D923" s="5">
        <v>300</v>
      </c>
      <c r="E923" s="10">
        <f>1205.8-1205.8</f>
        <v>0</v>
      </c>
      <c r="F923" s="10">
        <v>1205.8</v>
      </c>
      <c r="G923" s="10">
        <v>1205.8</v>
      </c>
    </row>
    <row r="924" spans="1:7" ht="94.5" outlineLevel="1" x14ac:dyDescent="0.25">
      <c r="A924" s="38" t="s">
        <v>462</v>
      </c>
      <c r="B924" s="12" t="s">
        <v>137</v>
      </c>
      <c r="C924" s="9" t="s">
        <v>463</v>
      </c>
      <c r="D924" s="12"/>
      <c r="E924" s="10">
        <f>E925</f>
        <v>928</v>
      </c>
      <c r="F924" s="10">
        <f t="shared" ref="F924:G924" si="348">F925</f>
        <v>588.6</v>
      </c>
      <c r="G924" s="10">
        <f t="shared" si="348"/>
        <v>664</v>
      </c>
    </row>
    <row r="925" spans="1:7" ht="31.5" outlineLevel="1" x14ac:dyDescent="0.25">
      <c r="A925" s="11" t="s">
        <v>76</v>
      </c>
      <c r="B925" s="12" t="s">
        <v>137</v>
      </c>
      <c r="C925" s="9" t="s">
        <v>463</v>
      </c>
      <c r="D925" s="12" t="s">
        <v>39</v>
      </c>
      <c r="E925" s="10">
        <f>949-21</f>
        <v>928</v>
      </c>
      <c r="F925" s="10">
        <v>588.6</v>
      </c>
      <c r="G925" s="10">
        <v>664</v>
      </c>
    </row>
    <row r="926" spans="1:7" ht="31.5" outlineLevel="1" x14ac:dyDescent="0.25">
      <c r="A926" s="11" t="s">
        <v>208</v>
      </c>
      <c r="B926" s="9" t="s">
        <v>137</v>
      </c>
      <c r="C926" s="9" t="s">
        <v>209</v>
      </c>
      <c r="D926" s="9"/>
      <c r="E926" s="10">
        <f>E927</f>
        <v>224778.39999999997</v>
      </c>
      <c r="F926" s="10">
        <f t="shared" ref="F926:G926" si="349">F927</f>
        <v>244504.3</v>
      </c>
      <c r="G926" s="10">
        <f t="shared" si="349"/>
        <v>246035.1</v>
      </c>
    </row>
    <row r="927" spans="1:7" outlineLevel="1" x14ac:dyDescent="0.25">
      <c r="A927" s="11" t="s">
        <v>144</v>
      </c>
      <c r="B927" s="9" t="s">
        <v>137</v>
      </c>
      <c r="C927" s="9" t="s">
        <v>215</v>
      </c>
      <c r="D927" s="9"/>
      <c r="E927" s="10">
        <f>E928+E933</f>
        <v>224778.39999999997</v>
      </c>
      <c r="F927" s="10">
        <f t="shared" ref="F927:G927" si="350">F928+F933</f>
        <v>244504.3</v>
      </c>
      <c r="G927" s="10">
        <f t="shared" si="350"/>
        <v>246035.1</v>
      </c>
    </row>
    <row r="928" spans="1:7" ht="49.5" customHeight="1" outlineLevel="1" x14ac:dyDescent="0.25">
      <c r="A928" s="47" t="s">
        <v>492</v>
      </c>
      <c r="B928" s="9" t="s">
        <v>137</v>
      </c>
      <c r="C928" s="9" t="s">
        <v>216</v>
      </c>
      <c r="D928" s="9"/>
      <c r="E928" s="10">
        <f>E929</f>
        <v>166261.09999999998</v>
      </c>
      <c r="F928" s="10">
        <f t="shared" ref="F928:G928" si="351">F929</f>
        <v>181455.6</v>
      </c>
      <c r="G928" s="10">
        <f t="shared" si="351"/>
        <v>182999.5</v>
      </c>
    </row>
    <row r="929" spans="1:7" ht="69.75" customHeight="1" outlineLevel="1" x14ac:dyDescent="0.25">
      <c r="A929" s="47" t="s">
        <v>263</v>
      </c>
      <c r="B929" s="9" t="s">
        <v>137</v>
      </c>
      <c r="C929" s="9" t="s">
        <v>264</v>
      </c>
      <c r="D929" s="5"/>
      <c r="E929" s="10">
        <f>E930+E931+E932</f>
        <v>166261.09999999998</v>
      </c>
      <c r="F929" s="10">
        <f t="shared" ref="F929:G929" si="352">F930+F931+F932</f>
        <v>181455.6</v>
      </c>
      <c r="G929" s="10">
        <f t="shared" si="352"/>
        <v>182999.5</v>
      </c>
    </row>
    <row r="930" spans="1:7" ht="31.5" outlineLevel="1" x14ac:dyDescent="0.25">
      <c r="A930" s="42" t="s">
        <v>76</v>
      </c>
      <c r="B930" s="9" t="s">
        <v>137</v>
      </c>
      <c r="C930" s="9" t="s">
        <v>264</v>
      </c>
      <c r="D930" s="5">
        <v>200</v>
      </c>
      <c r="E930" s="10">
        <v>17</v>
      </c>
      <c r="F930" s="10">
        <v>17</v>
      </c>
      <c r="G930" s="10">
        <v>17</v>
      </c>
    </row>
    <row r="931" spans="1:7" ht="31.5" outlineLevel="1" x14ac:dyDescent="0.25">
      <c r="A931" s="42" t="s">
        <v>20</v>
      </c>
      <c r="B931" s="9" t="s">
        <v>137</v>
      </c>
      <c r="C931" s="9" t="s">
        <v>264</v>
      </c>
      <c r="D931" s="5">
        <v>300</v>
      </c>
      <c r="E931" s="10">
        <v>2390</v>
      </c>
      <c r="F931" s="10">
        <v>2390</v>
      </c>
      <c r="G931" s="10">
        <v>2390</v>
      </c>
    </row>
    <row r="932" spans="1:7" ht="47.25" outlineLevel="1" x14ac:dyDescent="0.25">
      <c r="A932" s="11" t="s">
        <v>94</v>
      </c>
      <c r="B932" s="9" t="s">
        <v>137</v>
      </c>
      <c r="C932" s="9" t="s">
        <v>264</v>
      </c>
      <c r="D932" s="5">
        <v>600</v>
      </c>
      <c r="E932" s="10">
        <v>163854.09999999998</v>
      </c>
      <c r="F932" s="10">
        <v>179048.6</v>
      </c>
      <c r="G932" s="10">
        <v>180592.5</v>
      </c>
    </row>
    <row r="933" spans="1:7" ht="47.25" outlineLevel="1" x14ac:dyDescent="0.25">
      <c r="A933" s="47" t="s">
        <v>493</v>
      </c>
      <c r="B933" s="9" t="s">
        <v>137</v>
      </c>
      <c r="C933" s="9" t="s">
        <v>267</v>
      </c>
      <c r="D933" s="5"/>
      <c r="E933" s="10">
        <f>E934+E937+E940</f>
        <v>58517.3</v>
      </c>
      <c r="F933" s="10">
        <f t="shared" ref="F933:G933" si="353">F934+F937+F940</f>
        <v>63048.7</v>
      </c>
      <c r="G933" s="10">
        <f t="shared" si="353"/>
        <v>63035.6</v>
      </c>
    </row>
    <row r="934" spans="1:7" ht="63" outlineLevel="1" x14ac:dyDescent="0.25">
      <c r="A934" s="47" t="s">
        <v>268</v>
      </c>
      <c r="B934" s="9" t="s">
        <v>137</v>
      </c>
      <c r="C934" s="9" t="s">
        <v>269</v>
      </c>
      <c r="D934" s="5"/>
      <c r="E934" s="10">
        <f>E935+E936</f>
        <v>5123.7000000000007</v>
      </c>
      <c r="F934" s="10">
        <f t="shared" ref="F934:G934" si="354">F935+F936</f>
        <v>4436.8</v>
      </c>
      <c r="G934" s="10">
        <f t="shared" si="354"/>
        <v>4423.7</v>
      </c>
    </row>
    <row r="935" spans="1:7" ht="31.5" outlineLevel="1" x14ac:dyDescent="0.25">
      <c r="A935" s="11" t="s">
        <v>76</v>
      </c>
      <c r="B935" s="9" t="s">
        <v>137</v>
      </c>
      <c r="C935" s="9" t="s">
        <v>269</v>
      </c>
      <c r="D935" s="5">
        <v>200</v>
      </c>
      <c r="E935" s="10">
        <v>52</v>
      </c>
      <c r="F935" s="10">
        <v>52</v>
      </c>
      <c r="G935" s="10">
        <v>52</v>
      </c>
    </row>
    <row r="936" spans="1:7" ht="31.5" outlineLevel="1" x14ac:dyDescent="0.25">
      <c r="A936" s="11" t="s">
        <v>20</v>
      </c>
      <c r="B936" s="9" t="s">
        <v>137</v>
      </c>
      <c r="C936" s="9" t="s">
        <v>269</v>
      </c>
      <c r="D936" s="5">
        <v>300</v>
      </c>
      <c r="E936" s="10">
        <f>4450.6+621.1</f>
        <v>5071.7000000000007</v>
      </c>
      <c r="F936" s="10">
        <v>4384.8</v>
      </c>
      <c r="G936" s="10">
        <v>4371.7</v>
      </c>
    </row>
    <row r="937" spans="1:7" ht="99.75" customHeight="1" outlineLevel="1" x14ac:dyDescent="0.25">
      <c r="A937" s="47" t="s">
        <v>270</v>
      </c>
      <c r="B937" s="9" t="s">
        <v>137</v>
      </c>
      <c r="C937" s="9" t="s">
        <v>271</v>
      </c>
      <c r="D937" s="5"/>
      <c r="E937" s="10">
        <f>E938+E939</f>
        <v>234.49999999999997</v>
      </c>
      <c r="F937" s="10">
        <f t="shared" ref="F937:G937" si="355">F938+F939</f>
        <v>246.89999999999998</v>
      </c>
      <c r="G937" s="10">
        <f t="shared" si="355"/>
        <v>246.89999999999998</v>
      </c>
    </row>
    <row r="938" spans="1:7" ht="31.5" outlineLevel="1" x14ac:dyDescent="0.25">
      <c r="A938" s="11" t="s">
        <v>76</v>
      </c>
      <c r="B938" s="9" t="s">
        <v>137</v>
      </c>
      <c r="C938" s="9" t="s">
        <v>271</v>
      </c>
      <c r="D938" s="5">
        <v>200</v>
      </c>
      <c r="E938" s="10">
        <v>2.2000000000000002</v>
      </c>
      <c r="F938" s="10">
        <v>2.2000000000000002</v>
      </c>
      <c r="G938" s="10">
        <v>2.2000000000000002</v>
      </c>
    </row>
    <row r="939" spans="1:7" ht="31.5" outlineLevel="1" x14ac:dyDescent="0.25">
      <c r="A939" s="11" t="s">
        <v>20</v>
      </c>
      <c r="B939" s="9" t="s">
        <v>137</v>
      </c>
      <c r="C939" s="9" t="s">
        <v>271</v>
      </c>
      <c r="D939" s="5">
        <v>300</v>
      </c>
      <c r="E939" s="10">
        <v>232.29999999999998</v>
      </c>
      <c r="F939" s="10">
        <v>244.7</v>
      </c>
      <c r="G939" s="10">
        <v>244.7</v>
      </c>
    </row>
    <row r="940" spans="1:7" ht="94.5" outlineLevel="1" x14ac:dyDescent="0.25">
      <c r="A940" s="47" t="s">
        <v>272</v>
      </c>
      <c r="B940" s="9" t="s">
        <v>137</v>
      </c>
      <c r="C940" s="9" t="s">
        <v>273</v>
      </c>
      <c r="D940" s="5"/>
      <c r="E940" s="10">
        <f>E941+E942</f>
        <v>53159.1</v>
      </c>
      <c r="F940" s="10">
        <f t="shared" ref="F940:G940" si="356">F941+F942</f>
        <v>58365</v>
      </c>
      <c r="G940" s="10">
        <f t="shared" si="356"/>
        <v>58365</v>
      </c>
    </row>
    <row r="941" spans="1:7" ht="31.5" outlineLevel="1" x14ac:dyDescent="0.25">
      <c r="A941" s="11" t="s">
        <v>76</v>
      </c>
      <c r="B941" s="9" t="s">
        <v>137</v>
      </c>
      <c r="C941" s="9" t="s">
        <v>273</v>
      </c>
      <c r="D941" s="5">
        <v>200</v>
      </c>
      <c r="E941" s="10">
        <f>500-61.7</f>
        <v>438.3</v>
      </c>
      <c r="F941" s="10">
        <v>500</v>
      </c>
      <c r="G941" s="10">
        <v>500</v>
      </c>
    </row>
    <row r="942" spans="1:7" ht="31.5" outlineLevel="1" x14ac:dyDescent="0.25">
      <c r="A942" s="11" t="s">
        <v>20</v>
      </c>
      <c r="B942" s="9" t="s">
        <v>137</v>
      </c>
      <c r="C942" s="9" t="s">
        <v>273</v>
      </c>
      <c r="D942" s="5">
        <v>300</v>
      </c>
      <c r="E942" s="10">
        <f>54796.6-2075.8</f>
        <v>52720.799999999996</v>
      </c>
      <c r="F942" s="10">
        <v>57865</v>
      </c>
      <c r="G942" s="10">
        <v>57865</v>
      </c>
    </row>
    <row r="943" spans="1:7" s="31" customFormat="1" ht="16.5" customHeight="1" x14ac:dyDescent="0.25">
      <c r="A943" s="72" t="s">
        <v>184</v>
      </c>
      <c r="B943" s="6" t="s">
        <v>185</v>
      </c>
      <c r="C943" s="6"/>
      <c r="D943" s="7"/>
      <c r="E943" s="91">
        <f t="shared" ref="E943:F943" si="357">E944+E950+E973</f>
        <v>379234</v>
      </c>
      <c r="F943" s="91">
        <f t="shared" si="357"/>
        <v>244325</v>
      </c>
      <c r="G943" s="91">
        <f>G944+G950+G973</f>
        <v>257799.7</v>
      </c>
    </row>
    <row r="944" spans="1:7" outlineLevel="1" x14ac:dyDescent="0.25">
      <c r="A944" s="42" t="s">
        <v>186</v>
      </c>
      <c r="B944" s="9" t="s">
        <v>187</v>
      </c>
      <c r="C944" s="9"/>
      <c r="D944" s="5"/>
      <c r="E944" s="10">
        <f>E945</f>
        <v>50936.6</v>
      </c>
      <c r="F944" s="10">
        <f>F945</f>
        <v>48654.5</v>
      </c>
      <c r="G944" s="10">
        <f>G945</f>
        <v>50017.599999999999</v>
      </c>
    </row>
    <row r="945" spans="1:7" ht="37.5" customHeight="1" outlineLevel="2" x14ac:dyDescent="0.25">
      <c r="A945" s="42" t="s">
        <v>188</v>
      </c>
      <c r="B945" s="9" t="s">
        <v>187</v>
      </c>
      <c r="C945" s="9" t="s">
        <v>189</v>
      </c>
      <c r="D945" s="5"/>
      <c r="E945" s="10">
        <f>+E946</f>
        <v>50936.6</v>
      </c>
      <c r="F945" s="10">
        <f t="shared" ref="F945:G945" si="358">+F946</f>
        <v>48654.5</v>
      </c>
      <c r="G945" s="10">
        <f t="shared" si="358"/>
        <v>50017.599999999999</v>
      </c>
    </row>
    <row r="946" spans="1:7" outlineLevel="2" x14ac:dyDescent="0.25">
      <c r="A946" s="42" t="s">
        <v>144</v>
      </c>
      <c r="B946" s="9" t="s">
        <v>187</v>
      </c>
      <c r="C946" s="9" t="s">
        <v>192</v>
      </c>
      <c r="D946" s="5"/>
      <c r="E946" s="10">
        <f t="shared" ref="E946:G948" si="359">E947</f>
        <v>50936.6</v>
      </c>
      <c r="F946" s="10">
        <f t="shared" si="359"/>
        <v>48654.5</v>
      </c>
      <c r="G946" s="10">
        <f t="shared" si="359"/>
        <v>50017.599999999999</v>
      </c>
    </row>
    <row r="947" spans="1:7" ht="87.75" customHeight="1" outlineLevel="2" x14ac:dyDescent="0.25">
      <c r="A947" s="42" t="s">
        <v>193</v>
      </c>
      <c r="B947" s="9" t="s">
        <v>187</v>
      </c>
      <c r="C947" s="9" t="s">
        <v>194</v>
      </c>
      <c r="D947" s="5"/>
      <c r="E947" s="10">
        <f t="shared" si="359"/>
        <v>50936.6</v>
      </c>
      <c r="F947" s="10">
        <f t="shared" si="359"/>
        <v>48654.5</v>
      </c>
      <c r="G947" s="10">
        <f t="shared" si="359"/>
        <v>50017.599999999999</v>
      </c>
    </row>
    <row r="948" spans="1:7" ht="38.25" customHeight="1" outlineLevel="2" x14ac:dyDescent="0.25">
      <c r="A948" s="42" t="s">
        <v>150</v>
      </c>
      <c r="B948" s="9" t="s">
        <v>187</v>
      </c>
      <c r="C948" s="9" t="s">
        <v>195</v>
      </c>
      <c r="D948" s="5"/>
      <c r="E948" s="10">
        <f t="shared" si="359"/>
        <v>50936.6</v>
      </c>
      <c r="F948" s="10">
        <f t="shared" si="359"/>
        <v>48654.5</v>
      </c>
      <c r="G948" s="10">
        <f t="shared" si="359"/>
        <v>50017.599999999999</v>
      </c>
    </row>
    <row r="949" spans="1:7" ht="47.25" outlineLevel="2" x14ac:dyDescent="0.25">
      <c r="A949" s="42" t="s">
        <v>94</v>
      </c>
      <c r="B949" s="9" t="s">
        <v>187</v>
      </c>
      <c r="C949" s="9" t="s">
        <v>195</v>
      </c>
      <c r="D949" s="5">
        <v>600</v>
      </c>
      <c r="E949" s="10">
        <f>50868.4+68.2</f>
        <v>50936.6</v>
      </c>
      <c r="F949" s="10">
        <v>48654.5</v>
      </c>
      <c r="G949" s="10">
        <v>50017.599999999999</v>
      </c>
    </row>
    <row r="950" spans="1:7" outlineLevel="1" x14ac:dyDescent="0.25">
      <c r="A950" s="42" t="s">
        <v>196</v>
      </c>
      <c r="B950" s="9" t="s">
        <v>197</v>
      </c>
      <c r="C950" s="9"/>
      <c r="D950" s="5"/>
      <c r="E950" s="10">
        <f>E951</f>
        <v>30478.5</v>
      </c>
      <c r="F950" s="10">
        <f>F951</f>
        <v>29055.5</v>
      </c>
      <c r="G950" s="10">
        <f>G951</f>
        <v>34258.400000000001</v>
      </c>
    </row>
    <row r="951" spans="1:7" ht="33.75" customHeight="1" outlineLevel="2" x14ac:dyDescent="0.25">
      <c r="A951" s="42" t="s">
        <v>188</v>
      </c>
      <c r="B951" s="9" t="s">
        <v>197</v>
      </c>
      <c r="C951" s="9" t="s">
        <v>189</v>
      </c>
      <c r="D951" s="5"/>
      <c r="E951" s="10">
        <f>E952+E967</f>
        <v>30478.5</v>
      </c>
      <c r="F951" s="10">
        <f>F952+F967</f>
        <v>29055.5</v>
      </c>
      <c r="G951" s="10">
        <f>G952+G967</f>
        <v>34258.400000000001</v>
      </c>
    </row>
    <row r="952" spans="1:7" ht="21" customHeight="1" outlineLevel="2" x14ac:dyDescent="0.25">
      <c r="A952" s="42" t="s">
        <v>154</v>
      </c>
      <c r="B952" s="9" t="s">
        <v>197</v>
      </c>
      <c r="C952" s="9" t="s">
        <v>190</v>
      </c>
      <c r="D952" s="5"/>
      <c r="E952" s="10">
        <f>E956+E953+E959</f>
        <v>13278.6</v>
      </c>
      <c r="F952" s="10">
        <f t="shared" ref="F952:G952" si="360">F956+F953+F959</f>
        <v>19221.400000000001</v>
      </c>
      <c r="G952" s="10">
        <f t="shared" si="360"/>
        <v>24424.3</v>
      </c>
    </row>
    <row r="953" spans="1:7" ht="63" outlineLevel="2" x14ac:dyDescent="0.25">
      <c r="A953" s="42" t="s">
        <v>498</v>
      </c>
      <c r="B953" s="9" t="s">
        <v>197</v>
      </c>
      <c r="C953" s="9" t="s">
        <v>191</v>
      </c>
      <c r="D953" s="9"/>
      <c r="E953" s="10">
        <f>E954</f>
        <v>471.4</v>
      </c>
      <c r="F953" s="10">
        <f t="shared" ref="F953:G954" si="361">F954</f>
        <v>0</v>
      </c>
      <c r="G953" s="10">
        <f t="shared" si="361"/>
        <v>0</v>
      </c>
    </row>
    <row r="954" spans="1:7" ht="31.5" outlineLevel="2" x14ac:dyDescent="0.25">
      <c r="A954" s="42" t="s">
        <v>480</v>
      </c>
      <c r="B954" s="9" t="s">
        <v>197</v>
      </c>
      <c r="C954" s="9" t="s">
        <v>481</v>
      </c>
      <c r="D954" s="9"/>
      <c r="E954" s="10">
        <f>E955</f>
        <v>471.4</v>
      </c>
      <c r="F954" s="10">
        <f t="shared" si="361"/>
        <v>0</v>
      </c>
      <c r="G954" s="10">
        <f t="shared" si="361"/>
        <v>0</v>
      </c>
    </row>
    <row r="955" spans="1:7" ht="47.25" outlineLevel="2" x14ac:dyDescent="0.25">
      <c r="A955" s="42" t="s">
        <v>94</v>
      </c>
      <c r="B955" s="9" t="s">
        <v>197</v>
      </c>
      <c r="C955" s="9" t="s">
        <v>481</v>
      </c>
      <c r="D955" s="9">
        <v>600</v>
      </c>
      <c r="E955" s="10">
        <v>471.4</v>
      </c>
      <c r="F955" s="10">
        <v>0</v>
      </c>
      <c r="G955" s="10">
        <v>0</v>
      </c>
    </row>
    <row r="956" spans="1:7" ht="47.25" outlineLevel="2" x14ac:dyDescent="0.25">
      <c r="A956" s="42" t="s">
        <v>199</v>
      </c>
      <c r="B956" s="9" t="s">
        <v>197</v>
      </c>
      <c r="C956" s="9" t="s">
        <v>200</v>
      </c>
      <c r="D956" s="5"/>
      <c r="E956" s="10">
        <f t="shared" ref="E956:G957" si="362">E957</f>
        <v>340</v>
      </c>
      <c r="F956" s="10">
        <f t="shared" si="362"/>
        <v>1020</v>
      </c>
      <c r="G956" s="10">
        <f t="shared" si="362"/>
        <v>1020</v>
      </c>
    </row>
    <row r="957" spans="1:7" ht="63" outlineLevel="2" x14ac:dyDescent="0.25">
      <c r="A957" s="42" t="s">
        <v>174</v>
      </c>
      <c r="B957" s="9" t="s">
        <v>197</v>
      </c>
      <c r="C957" s="9" t="s">
        <v>483</v>
      </c>
      <c r="D957" s="5"/>
      <c r="E957" s="10">
        <f t="shared" si="362"/>
        <v>340</v>
      </c>
      <c r="F957" s="10">
        <f t="shared" si="362"/>
        <v>1020</v>
      </c>
      <c r="G957" s="10">
        <f t="shared" si="362"/>
        <v>1020</v>
      </c>
    </row>
    <row r="958" spans="1:7" ht="47.25" outlineLevel="2" x14ac:dyDescent="0.25">
      <c r="A958" s="42" t="s">
        <v>94</v>
      </c>
      <c r="B958" s="9" t="s">
        <v>197</v>
      </c>
      <c r="C958" s="9" t="s">
        <v>483</v>
      </c>
      <c r="D958" s="5">
        <v>600</v>
      </c>
      <c r="E958" s="10">
        <v>340</v>
      </c>
      <c r="F958" s="10">
        <v>1020</v>
      </c>
      <c r="G958" s="10">
        <v>1020</v>
      </c>
    </row>
    <row r="959" spans="1:7" ht="47.25" outlineLevel="2" x14ac:dyDescent="0.25">
      <c r="A959" s="42" t="s">
        <v>717</v>
      </c>
      <c r="B959" s="9" t="s">
        <v>197</v>
      </c>
      <c r="C959" s="10" t="s">
        <v>716</v>
      </c>
      <c r="D959" s="10"/>
      <c r="E959" s="10">
        <f>+E960+E962+E965</f>
        <v>12467.2</v>
      </c>
      <c r="F959" s="10">
        <f t="shared" ref="F959:G959" si="363">+F960+F962+F965</f>
        <v>18201.400000000001</v>
      </c>
      <c r="G959" s="10">
        <f t="shared" si="363"/>
        <v>23404.3</v>
      </c>
    </row>
    <row r="960" spans="1:7" ht="31.5" outlineLevel="2" x14ac:dyDescent="0.25">
      <c r="A960" s="42" t="s">
        <v>714</v>
      </c>
      <c r="B960" s="9" t="s">
        <v>197</v>
      </c>
      <c r="C960" s="10" t="s">
        <v>715</v>
      </c>
      <c r="D960" s="5"/>
      <c r="E960" s="10">
        <f>E961</f>
        <v>320</v>
      </c>
      <c r="F960" s="10">
        <f t="shared" ref="F960:G960" si="364">F961</f>
        <v>0</v>
      </c>
      <c r="G960" s="10">
        <f t="shared" si="364"/>
        <v>0</v>
      </c>
    </row>
    <row r="961" spans="1:7" ht="31.5" outlineLevel="2" x14ac:dyDescent="0.25">
      <c r="A961" s="42" t="s">
        <v>76</v>
      </c>
      <c r="B961" s="9" t="s">
        <v>197</v>
      </c>
      <c r="C961" s="10" t="s">
        <v>715</v>
      </c>
      <c r="D961" s="5">
        <v>200</v>
      </c>
      <c r="E961" s="10">
        <v>320</v>
      </c>
      <c r="F961" s="10">
        <v>0</v>
      </c>
      <c r="G961" s="10">
        <v>0</v>
      </c>
    </row>
    <row r="962" spans="1:7" ht="31.5" outlineLevel="2" x14ac:dyDescent="0.25">
      <c r="A962" s="42" t="s">
        <v>811</v>
      </c>
      <c r="B962" s="9" t="s">
        <v>197</v>
      </c>
      <c r="C962" s="21" t="s">
        <v>812</v>
      </c>
      <c r="D962" s="21"/>
      <c r="E962" s="10">
        <f>+E963+E964</f>
        <v>12147.2</v>
      </c>
      <c r="F962" s="10">
        <f t="shared" ref="F962:G962" si="365">+F963+F964</f>
        <v>18201.400000000001</v>
      </c>
      <c r="G962" s="10">
        <f t="shared" si="365"/>
        <v>0</v>
      </c>
    </row>
    <row r="963" spans="1:7" ht="31.5" outlineLevel="2" x14ac:dyDescent="0.25">
      <c r="A963" s="42" t="s">
        <v>76</v>
      </c>
      <c r="B963" s="9" t="s">
        <v>197</v>
      </c>
      <c r="C963" s="21" t="s">
        <v>812</v>
      </c>
      <c r="D963" s="21">
        <v>200</v>
      </c>
      <c r="E963" s="10">
        <v>7800.6</v>
      </c>
      <c r="F963" s="10">
        <v>18201.400000000001</v>
      </c>
      <c r="G963" s="10">
        <v>0</v>
      </c>
    </row>
    <row r="964" spans="1:7" ht="47.25" outlineLevel="2" x14ac:dyDescent="0.25">
      <c r="A964" s="42" t="s">
        <v>94</v>
      </c>
      <c r="B964" s="9" t="s">
        <v>197</v>
      </c>
      <c r="C964" s="21" t="s">
        <v>812</v>
      </c>
      <c r="D964" s="9" t="s">
        <v>95</v>
      </c>
      <c r="E964" s="10">
        <v>4346.6000000000004</v>
      </c>
      <c r="F964" s="10">
        <v>0</v>
      </c>
      <c r="G964" s="10">
        <v>0</v>
      </c>
    </row>
    <row r="965" spans="1:7" ht="31.5" outlineLevel="2" x14ac:dyDescent="0.25">
      <c r="A965" s="42" t="s">
        <v>718</v>
      </c>
      <c r="B965" s="9" t="s">
        <v>197</v>
      </c>
      <c r="C965" s="9" t="s">
        <v>719</v>
      </c>
      <c r="D965" s="9"/>
      <c r="E965" s="10">
        <f t="shared" ref="E965:F965" si="366">E966</f>
        <v>0</v>
      </c>
      <c r="F965" s="10">
        <f t="shared" si="366"/>
        <v>0</v>
      </c>
      <c r="G965" s="10">
        <f>G966</f>
        <v>23404.3</v>
      </c>
    </row>
    <row r="966" spans="1:7" ht="47.25" outlineLevel="2" x14ac:dyDescent="0.25">
      <c r="A966" s="42" t="s">
        <v>94</v>
      </c>
      <c r="B966" s="9" t="s">
        <v>197</v>
      </c>
      <c r="C966" s="9" t="s">
        <v>719</v>
      </c>
      <c r="D966" s="9">
        <v>600</v>
      </c>
      <c r="E966" s="10">
        <v>0</v>
      </c>
      <c r="F966" s="10">
        <v>0</v>
      </c>
      <c r="G966" s="10">
        <v>23404.3</v>
      </c>
    </row>
    <row r="967" spans="1:7" outlineLevel="2" x14ac:dyDescent="0.25">
      <c r="A967" s="42" t="s">
        <v>144</v>
      </c>
      <c r="B967" s="9" t="s">
        <v>197</v>
      </c>
      <c r="C967" s="9" t="s">
        <v>192</v>
      </c>
      <c r="D967" s="5"/>
      <c r="E967" s="10">
        <f>E968</f>
        <v>17199.900000000001</v>
      </c>
      <c r="F967" s="10">
        <f>F968</f>
        <v>9834.1</v>
      </c>
      <c r="G967" s="10">
        <f>G968</f>
        <v>9834.1</v>
      </c>
    </row>
    <row r="968" spans="1:7" ht="87" customHeight="1" outlineLevel="2" x14ac:dyDescent="0.25">
      <c r="A968" s="42" t="s">
        <v>193</v>
      </c>
      <c r="B968" s="9" t="s">
        <v>197</v>
      </c>
      <c r="C968" s="9" t="s">
        <v>194</v>
      </c>
      <c r="D968" s="5"/>
      <c r="E968" s="10">
        <f>E969+E971</f>
        <v>17199.900000000001</v>
      </c>
      <c r="F968" s="10">
        <f>F969+F971</f>
        <v>9834.1</v>
      </c>
      <c r="G968" s="10">
        <f>G969+G971</f>
        <v>9834.1</v>
      </c>
    </row>
    <row r="969" spans="1:7" ht="31.5" outlineLevel="2" x14ac:dyDescent="0.25">
      <c r="A969" s="42" t="s">
        <v>201</v>
      </c>
      <c r="B969" s="9" t="s">
        <v>197</v>
      </c>
      <c r="C969" s="9" t="s">
        <v>202</v>
      </c>
      <c r="D969" s="5"/>
      <c r="E969" s="10">
        <f>E970</f>
        <v>12569.2</v>
      </c>
      <c r="F969" s="10">
        <f>F970</f>
        <v>7833.3</v>
      </c>
      <c r="G969" s="10">
        <f>G970</f>
        <v>7833.3</v>
      </c>
    </row>
    <row r="970" spans="1:7" ht="31.5" outlineLevel="2" x14ac:dyDescent="0.25">
      <c r="A970" s="42" t="s">
        <v>76</v>
      </c>
      <c r="B970" s="9" t="s">
        <v>197</v>
      </c>
      <c r="C970" s="9" t="s">
        <v>202</v>
      </c>
      <c r="D970" s="5">
        <v>200</v>
      </c>
      <c r="E970" s="10">
        <v>12569.2</v>
      </c>
      <c r="F970" s="10">
        <v>7833.3</v>
      </c>
      <c r="G970" s="10">
        <v>7833.3</v>
      </c>
    </row>
    <row r="971" spans="1:7" ht="47.25" outlineLevel="2" x14ac:dyDescent="0.25">
      <c r="A971" s="42" t="s">
        <v>203</v>
      </c>
      <c r="B971" s="9" t="s">
        <v>197</v>
      </c>
      <c r="C971" s="9" t="s">
        <v>204</v>
      </c>
      <c r="D971" s="5"/>
      <c r="E971" s="10">
        <f>E972</f>
        <v>4630.7</v>
      </c>
      <c r="F971" s="10">
        <f>F972</f>
        <v>2000.8</v>
      </c>
      <c r="G971" s="10">
        <f>G972</f>
        <v>2000.8</v>
      </c>
    </row>
    <row r="972" spans="1:7" ht="87.75" customHeight="1" outlineLevel="2" x14ac:dyDescent="0.25">
      <c r="A972" s="42" t="s">
        <v>75</v>
      </c>
      <c r="B972" s="9" t="s">
        <v>197</v>
      </c>
      <c r="C972" s="9" t="s">
        <v>204</v>
      </c>
      <c r="D972" s="5">
        <v>100</v>
      </c>
      <c r="E972" s="10">
        <v>4630.7</v>
      </c>
      <c r="F972" s="10">
        <v>2000.8</v>
      </c>
      <c r="G972" s="10">
        <v>2000.8</v>
      </c>
    </row>
    <row r="973" spans="1:7" outlineLevel="1" collapsed="1" x14ac:dyDescent="0.25">
      <c r="A973" s="42" t="s">
        <v>205</v>
      </c>
      <c r="B973" s="9" t="s">
        <v>198</v>
      </c>
      <c r="C973" s="9"/>
      <c r="D973" s="5"/>
      <c r="E973" s="10">
        <f>E984+E974</f>
        <v>297818.89999999997</v>
      </c>
      <c r="F973" s="10">
        <f t="shared" ref="F973:G973" si="367">F984+F974</f>
        <v>166615</v>
      </c>
      <c r="G973" s="10">
        <f t="shared" si="367"/>
        <v>173523.7</v>
      </c>
    </row>
    <row r="974" spans="1:7" ht="31.5" outlineLevel="1" x14ac:dyDescent="0.25">
      <c r="A974" s="11" t="s">
        <v>208</v>
      </c>
      <c r="B974" s="9" t="s">
        <v>198</v>
      </c>
      <c r="C974" s="9" t="s">
        <v>209</v>
      </c>
      <c r="D974" s="5"/>
      <c r="E974" s="10">
        <f>E975</f>
        <v>265483.89999999997</v>
      </c>
      <c r="F974" s="10">
        <f t="shared" ref="F974:G974" si="368">F975</f>
        <v>136447.20000000001</v>
      </c>
      <c r="G974" s="10">
        <f t="shared" si="368"/>
        <v>142469.30000000002</v>
      </c>
    </row>
    <row r="975" spans="1:7" outlineLevel="1" x14ac:dyDescent="0.25">
      <c r="A975" s="11" t="s">
        <v>144</v>
      </c>
      <c r="B975" s="9" t="s">
        <v>198</v>
      </c>
      <c r="C975" s="9" t="s">
        <v>215</v>
      </c>
      <c r="D975" s="5"/>
      <c r="E975" s="10">
        <f>E976+E979</f>
        <v>265483.89999999997</v>
      </c>
      <c r="F975" s="10">
        <f t="shared" ref="F975:G975" si="369">F976+F979</f>
        <v>136447.20000000001</v>
      </c>
      <c r="G975" s="10">
        <f t="shared" si="369"/>
        <v>142469.30000000002</v>
      </c>
    </row>
    <row r="976" spans="1:7" ht="48.75" customHeight="1" outlineLevel="1" x14ac:dyDescent="0.25">
      <c r="A976" s="11" t="s">
        <v>482</v>
      </c>
      <c r="B976" s="9" t="s">
        <v>198</v>
      </c>
      <c r="C976" s="9" t="s">
        <v>216</v>
      </c>
      <c r="D976" s="5"/>
      <c r="E976" s="10">
        <f>E977</f>
        <v>265388.69999999995</v>
      </c>
      <c r="F976" s="10">
        <f t="shared" ref="F976:G977" si="370">F977</f>
        <v>136391.1</v>
      </c>
      <c r="G976" s="10">
        <f t="shared" si="370"/>
        <v>142413.20000000001</v>
      </c>
    </row>
    <row r="977" spans="1:7" ht="39.75" customHeight="1" outlineLevel="1" x14ac:dyDescent="0.25">
      <c r="A977" s="40" t="s">
        <v>150</v>
      </c>
      <c r="B977" s="9" t="s">
        <v>198</v>
      </c>
      <c r="C977" s="9" t="s">
        <v>217</v>
      </c>
      <c r="D977" s="5"/>
      <c r="E977" s="10">
        <f>E978</f>
        <v>265388.69999999995</v>
      </c>
      <c r="F977" s="10">
        <f t="shared" si="370"/>
        <v>136391.1</v>
      </c>
      <c r="G977" s="10">
        <f t="shared" si="370"/>
        <v>142413.20000000001</v>
      </c>
    </row>
    <row r="978" spans="1:7" ht="47.25" outlineLevel="1" x14ac:dyDescent="0.25">
      <c r="A978" s="42" t="s">
        <v>94</v>
      </c>
      <c r="B978" s="9" t="s">
        <v>198</v>
      </c>
      <c r="C978" s="9" t="s">
        <v>217</v>
      </c>
      <c r="D978" s="5">
        <v>600</v>
      </c>
      <c r="E978" s="10">
        <f>262136.6+2750+6823.3+400-6871.2+150</f>
        <v>265388.69999999995</v>
      </c>
      <c r="F978" s="10">
        <v>136391.1</v>
      </c>
      <c r="G978" s="10">
        <v>142413.20000000001</v>
      </c>
    </row>
    <row r="979" spans="1:7" ht="63" outlineLevel="1" x14ac:dyDescent="0.25">
      <c r="A979" s="47" t="s">
        <v>486</v>
      </c>
      <c r="B979" s="9" t="s">
        <v>198</v>
      </c>
      <c r="C979" s="9" t="s">
        <v>222</v>
      </c>
      <c r="D979" s="24"/>
      <c r="E979" s="10">
        <f>E982+E980</f>
        <v>95.2</v>
      </c>
      <c r="F979" s="10">
        <f>F982</f>
        <v>56.1</v>
      </c>
      <c r="G979" s="10">
        <f>G982</f>
        <v>56.1</v>
      </c>
    </row>
    <row r="980" spans="1:7" ht="31.5" outlineLevel="1" x14ac:dyDescent="0.25">
      <c r="A980" s="40" t="s">
        <v>248</v>
      </c>
      <c r="B980" s="9" t="s">
        <v>198</v>
      </c>
      <c r="C980" s="16" t="s">
        <v>249</v>
      </c>
      <c r="D980" s="9"/>
      <c r="E980" s="10">
        <f>E981</f>
        <v>39.1</v>
      </c>
      <c r="F980" s="10">
        <f t="shared" ref="F980:G980" si="371">F981</f>
        <v>0</v>
      </c>
      <c r="G980" s="10">
        <f t="shared" si="371"/>
        <v>0</v>
      </c>
    </row>
    <row r="981" spans="1:7" ht="47.25" outlineLevel="1" x14ac:dyDescent="0.25">
      <c r="A981" s="11" t="s">
        <v>94</v>
      </c>
      <c r="B981" s="9" t="s">
        <v>198</v>
      </c>
      <c r="C981" s="16" t="s">
        <v>249</v>
      </c>
      <c r="D981" s="9">
        <v>600</v>
      </c>
      <c r="E981" s="10">
        <v>39.1</v>
      </c>
      <c r="F981" s="10">
        <v>0</v>
      </c>
      <c r="G981" s="10">
        <v>0</v>
      </c>
    </row>
    <row r="982" spans="1:7" ht="47.25" outlineLevel="1" x14ac:dyDescent="0.25">
      <c r="A982" s="70" t="s">
        <v>252</v>
      </c>
      <c r="B982" s="9" t="s">
        <v>198</v>
      </c>
      <c r="C982" s="25" t="s">
        <v>224</v>
      </c>
      <c r="D982" s="24"/>
      <c r="E982" s="10">
        <f>E983</f>
        <v>56.1</v>
      </c>
      <c r="F982" s="10">
        <f t="shared" ref="F982:G982" si="372">F983</f>
        <v>56.1</v>
      </c>
      <c r="G982" s="10">
        <f t="shared" si="372"/>
        <v>56.1</v>
      </c>
    </row>
    <row r="983" spans="1:7" ht="47.25" outlineLevel="1" x14ac:dyDescent="0.25">
      <c r="A983" s="11" t="s">
        <v>94</v>
      </c>
      <c r="B983" s="9" t="s">
        <v>198</v>
      </c>
      <c r="C983" s="25" t="s">
        <v>224</v>
      </c>
      <c r="D983" s="24">
        <v>600</v>
      </c>
      <c r="E983" s="10">
        <v>56.1</v>
      </c>
      <c r="F983" s="10">
        <v>56.1</v>
      </c>
      <c r="G983" s="10">
        <v>56.1</v>
      </c>
    </row>
    <row r="984" spans="1:7" ht="39.75" customHeight="1" outlineLevel="1" x14ac:dyDescent="0.25">
      <c r="A984" s="42" t="s">
        <v>188</v>
      </c>
      <c r="B984" s="9" t="s">
        <v>198</v>
      </c>
      <c r="C984" s="9" t="s">
        <v>189</v>
      </c>
      <c r="D984" s="5"/>
      <c r="E984" s="10">
        <f>E989+E985</f>
        <v>32335</v>
      </c>
      <c r="F984" s="10">
        <f>F989</f>
        <v>30167.8</v>
      </c>
      <c r="G984" s="10">
        <f>G989</f>
        <v>31054.400000000001</v>
      </c>
    </row>
    <row r="985" spans="1:7" ht="19.5" customHeight="1" outlineLevel="1" x14ac:dyDescent="0.25">
      <c r="A985" s="42" t="s">
        <v>154</v>
      </c>
      <c r="B985" s="9" t="s">
        <v>198</v>
      </c>
      <c r="C985" s="9" t="s">
        <v>190</v>
      </c>
      <c r="D985" s="9"/>
      <c r="E985" s="10">
        <f>E986</f>
        <v>1015.1</v>
      </c>
      <c r="F985" s="10">
        <f t="shared" ref="F985:G987" si="373">F986</f>
        <v>0</v>
      </c>
      <c r="G985" s="10">
        <f t="shared" si="373"/>
        <v>0</v>
      </c>
    </row>
    <row r="986" spans="1:7" ht="47.25" outlineLevel="1" x14ac:dyDescent="0.25">
      <c r="A986" s="42" t="s">
        <v>534</v>
      </c>
      <c r="B986" s="9" t="s">
        <v>198</v>
      </c>
      <c r="C986" s="9" t="s">
        <v>535</v>
      </c>
      <c r="D986" s="9"/>
      <c r="E986" s="10">
        <f t="shared" ref="E986:E987" si="374">E987</f>
        <v>1015.1</v>
      </c>
      <c r="F986" s="10">
        <f t="shared" si="373"/>
        <v>0</v>
      </c>
      <c r="G986" s="10">
        <f t="shared" si="373"/>
        <v>0</v>
      </c>
    </row>
    <row r="987" spans="1:7" ht="63" outlineLevel="1" x14ac:dyDescent="0.25">
      <c r="A987" s="42" t="s">
        <v>174</v>
      </c>
      <c r="B987" s="9" t="s">
        <v>198</v>
      </c>
      <c r="C987" s="32" t="s">
        <v>536</v>
      </c>
      <c r="D987" s="9"/>
      <c r="E987" s="10">
        <f t="shared" si="374"/>
        <v>1015.1</v>
      </c>
      <c r="F987" s="10">
        <f t="shared" si="373"/>
        <v>0</v>
      </c>
      <c r="G987" s="10">
        <f t="shared" si="373"/>
        <v>0</v>
      </c>
    </row>
    <row r="988" spans="1:7" ht="47.25" outlineLevel="1" x14ac:dyDescent="0.25">
      <c r="A988" s="42" t="s">
        <v>94</v>
      </c>
      <c r="B988" s="9" t="s">
        <v>198</v>
      </c>
      <c r="C988" s="32" t="s">
        <v>536</v>
      </c>
      <c r="D988" s="9" t="s">
        <v>95</v>
      </c>
      <c r="E988" s="10">
        <v>1015.1</v>
      </c>
      <c r="F988" s="10">
        <v>0</v>
      </c>
      <c r="G988" s="10">
        <v>0</v>
      </c>
    </row>
    <row r="989" spans="1:7" outlineLevel="1" x14ac:dyDescent="0.25">
      <c r="A989" s="42" t="s">
        <v>144</v>
      </c>
      <c r="B989" s="9" t="s">
        <v>198</v>
      </c>
      <c r="C989" s="9" t="s">
        <v>192</v>
      </c>
      <c r="D989" s="5"/>
      <c r="E989" s="10">
        <f>E990</f>
        <v>31319.9</v>
      </c>
      <c r="F989" s="10">
        <f t="shared" ref="F989:G989" si="375">F990</f>
        <v>30167.8</v>
      </c>
      <c r="G989" s="10">
        <f t="shared" si="375"/>
        <v>31054.400000000001</v>
      </c>
    </row>
    <row r="990" spans="1:7" ht="85.5" customHeight="1" outlineLevel="1" x14ac:dyDescent="0.25">
      <c r="A990" s="42" t="s">
        <v>193</v>
      </c>
      <c r="B990" s="9" t="s">
        <v>198</v>
      </c>
      <c r="C990" s="9" t="s">
        <v>194</v>
      </c>
      <c r="D990" s="5"/>
      <c r="E990" s="10">
        <f>E991+E993</f>
        <v>31319.9</v>
      </c>
      <c r="F990" s="10">
        <f t="shared" ref="F990:G990" si="376">F991+F993</f>
        <v>30167.8</v>
      </c>
      <c r="G990" s="10">
        <f t="shared" si="376"/>
        <v>31054.400000000001</v>
      </c>
    </row>
    <row r="991" spans="1:7" ht="51" customHeight="1" outlineLevel="1" x14ac:dyDescent="0.25">
      <c r="A991" s="42" t="s">
        <v>206</v>
      </c>
      <c r="B991" s="9" t="s">
        <v>198</v>
      </c>
      <c r="C991" s="9" t="s">
        <v>207</v>
      </c>
      <c r="D991" s="5"/>
      <c r="E991" s="10">
        <f>E992</f>
        <v>950</v>
      </c>
      <c r="F991" s="10">
        <f>F992</f>
        <v>950</v>
      </c>
      <c r="G991" s="10">
        <f>G992</f>
        <v>950</v>
      </c>
    </row>
    <row r="992" spans="1:7" ht="31.5" outlineLevel="1" x14ac:dyDescent="0.25">
      <c r="A992" s="42" t="s">
        <v>20</v>
      </c>
      <c r="B992" s="9" t="s">
        <v>198</v>
      </c>
      <c r="C992" s="9" t="s">
        <v>207</v>
      </c>
      <c r="D992" s="5">
        <v>300</v>
      </c>
      <c r="E992" s="10">
        <v>950</v>
      </c>
      <c r="F992" s="10">
        <v>950</v>
      </c>
      <c r="G992" s="10">
        <v>950</v>
      </c>
    </row>
    <row r="993" spans="1:7" ht="37.5" customHeight="1" outlineLevel="1" x14ac:dyDescent="0.25">
      <c r="A993" s="42" t="s">
        <v>150</v>
      </c>
      <c r="B993" s="9" t="s">
        <v>198</v>
      </c>
      <c r="C993" s="9" t="s">
        <v>195</v>
      </c>
      <c r="D993" s="5"/>
      <c r="E993" s="10">
        <f>E994</f>
        <v>30369.9</v>
      </c>
      <c r="F993" s="10">
        <f>F994</f>
        <v>29217.8</v>
      </c>
      <c r="G993" s="10">
        <f>G994</f>
        <v>30104.400000000001</v>
      </c>
    </row>
    <row r="994" spans="1:7" ht="47.25" outlineLevel="1" x14ac:dyDescent="0.25">
      <c r="A994" s="42" t="s">
        <v>94</v>
      </c>
      <c r="B994" s="9" t="s">
        <v>198</v>
      </c>
      <c r="C994" s="9" t="s">
        <v>195</v>
      </c>
      <c r="D994" s="5">
        <v>600</v>
      </c>
      <c r="E994" s="10">
        <f>28621.6+1247.9+500.4</f>
        <v>30369.9</v>
      </c>
      <c r="F994" s="10">
        <v>29217.8</v>
      </c>
      <c r="G994" s="10">
        <v>30104.400000000001</v>
      </c>
    </row>
    <row r="995" spans="1:7" x14ac:dyDescent="0.25">
      <c r="A995" s="73" t="s">
        <v>464</v>
      </c>
      <c r="B995" s="18" t="s">
        <v>465</v>
      </c>
      <c r="C995" s="18"/>
      <c r="D995" s="23"/>
      <c r="E995" s="8">
        <f>E996</f>
        <v>22330.800000000003</v>
      </c>
      <c r="F995" s="8">
        <f t="shared" ref="F995:G998" si="377">F996</f>
        <v>34815.9</v>
      </c>
      <c r="G995" s="8">
        <f t="shared" si="377"/>
        <v>36037.4</v>
      </c>
    </row>
    <row r="996" spans="1:7" outlineLevel="1" x14ac:dyDescent="0.25">
      <c r="A996" s="48" t="s">
        <v>466</v>
      </c>
      <c r="B996" s="12" t="s">
        <v>467</v>
      </c>
      <c r="C996" s="12"/>
      <c r="D996" s="13"/>
      <c r="E996" s="10">
        <f>E997</f>
        <v>22330.800000000003</v>
      </c>
      <c r="F996" s="10">
        <f t="shared" si="377"/>
        <v>34815.9</v>
      </c>
      <c r="G996" s="10">
        <f t="shared" si="377"/>
        <v>36037.4</v>
      </c>
    </row>
    <row r="997" spans="1:7" outlineLevel="1" x14ac:dyDescent="0.25">
      <c r="A997" s="52" t="s">
        <v>9</v>
      </c>
      <c r="B997" s="12" t="s">
        <v>467</v>
      </c>
      <c r="C997" s="12" t="s">
        <v>10</v>
      </c>
      <c r="D997" s="13"/>
      <c r="E997" s="10">
        <f>E998</f>
        <v>22330.800000000003</v>
      </c>
      <c r="F997" s="10">
        <f t="shared" si="377"/>
        <v>34815.9</v>
      </c>
      <c r="G997" s="10">
        <f t="shared" si="377"/>
        <v>36037.4</v>
      </c>
    </row>
    <row r="998" spans="1:7" ht="33" customHeight="1" outlineLevel="1" x14ac:dyDescent="0.25">
      <c r="A998" s="52" t="s">
        <v>150</v>
      </c>
      <c r="B998" s="12" t="s">
        <v>467</v>
      </c>
      <c r="C998" s="12" t="s">
        <v>45</v>
      </c>
      <c r="D998" s="13"/>
      <c r="E998" s="10">
        <f>E999</f>
        <v>22330.800000000003</v>
      </c>
      <c r="F998" s="10">
        <f t="shared" si="377"/>
        <v>34815.9</v>
      </c>
      <c r="G998" s="10">
        <f t="shared" si="377"/>
        <v>36037.4</v>
      </c>
    </row>
    <row r="999" spans="1:7" ht="47.25" outlineLevel="1" x14ac:dyDescent="0.25">
      <c r="A999" s="52" t="s">
        <v>94</v>
      </c>
      <c r="B999" s="12" t="s">
        <v>467</v>
      </c>
      <c r="C999" s="12" t="s">
        <v>45</v>
      </c>
      <c r="D999" s="13">
        <v>600</v>
      </c>
      <c r="E999" s="10">
        <v>22330.800000000003</v>
      </c>
      <c r="F999" s="10">
        <v>34815.9</v>
      </c>
      <c r="G999" s="10">
        <v>36037.4</v>
      </c>
    </row>
    <row r="1000" spans="1:7" ht="31.5" x14ac:dyDescent="0.25">
      <c r="A1000" s="72" t="s">
        <v>112</v>
      </c>
      <c r="B1000" s="6" t="s">
        <v>113</v>
      </c>
      <c r="C1000" s="6"/>
      <c r="D1000" s="7"/>
      <c r="E1000" s="10">
        <f>E1001</f>
        <v>93308.4</v>
      </c>
      <c r="F1000" s="91">
        <f t="shared" ref="F1000:G1003" si="378">F1001</f>
        <v>183171</v>
      </c>
      <c r="G1000" s="91">
        <f t="shared" si="378"/>
        <v>236273.4</v>
      </c>
    </row>
    <row r="1001" spans="1:7" ht="31.5" outlineLevel="1" x14ac:dyDescent="0.25">
      <c r="A1001" s="42" t="s">
        <v>114</v>
      </c>
      <c r="B1001" s="9" t="s">
        <v>115</v>
      </c>
      <c r="C1001" s="9"/>
      <c r="D1001" s="5"/>
      <c r="E1001" s="10">
        <f>E1002</f>
        <v>93308.4</v>
      </c>
      <c r="F1001" s="10">
        <f t="shared" si="378"/>
        <v>183171</v>
      </c>
      <c r="G1001" s="10">
        <f t="shared" si="378"/>
        <v>236273.4</v>
      </c>
    </row>
    <row r="1002" spans="1:7" outlineLevel="1" x14ac:dyDescent="0.25">
      <c r="A1002" s="42" t="s">
        <v>9</v>
      </c>
      <c r="B1002" s="9" t="s">
        <v>115</v>
      </c>
      <c r="C1002" s="9" t="s">
        <v>10</v>
      </c>
      <c r="D1002" s="5"/>
      <c r="E1002" s="10">
        <f>E1003</f>
        <v>93308.4</v>
      </c>
      <c r="F1002" s="10">
        <f t="shared" si="378"/>
        <v>183171</v>
      </c>
      <c r="G1002" s="10">
        <f t="shared" si="378"/>
        <v>236273.4</v>
      </c>
    </row>
    <row r="1003" spans="1:7" ht="21" customHeight="1" outlineLevel="1" x14ac:dyDescent="0.25">
      <c r="A1003" s="42" t="s">
        <v>116</v>
      </c>
      <c r="B1003" s="9" t="s">
        <v>115</v>
      </c>
      <c r="C1003" s="9" t="s">
        <v>117</v>
      </c>
      <c r="D1003" s="5"/>
      <c r="E1003" s="10">
        <f>E1004</f>
        <v>93308.4</v>
      </c>
      <c r="F1003" s="10">
        <f t="shared" si="378"/>
        <v>183171</v>
      </c>
      <c r="G1003" s="10">
        <f t="shared" si="378"/>
        <v>236273.4</v>
      </c>
    </row>
    <row r="1004" spans="1:7" ht="31.5" outlineLevel="1" x14ac:dyDescent="0.25">
      <c r="A1004" s="42" t="s">
        <v>118</v>
      </c>
      <c r="B1004" s="9" t="s">
        <v>115</v>
      </c>
      <c r="C1004" s="9" t="s">
        <v>117</v>
      </c>
      <c r="D1004" s="5">
        <v>700</v>
      </c>
      <c r="E1004" s="10">
        <v>93308.4</v>
      </c>
      <c r="F1004" s="10">
        <v>183171</v>
      </c>
      <c r="G1004" s="10">
        <v>236273.4</v>
      </c>
    </row>
    <row r="1005" spans="1:7" x14ac:dyDescent="0.25">
      <c r="E1005" s="10"/>
      <c r="F1005" s="10"/>
      <c r="G1005" s="10"/>
    </row>
    <row r="1006" spans="1:7" x14ac:dyDescent="0.25">
      <c r="A1006" s="74" t="s">
        <v>468</v>
      </c>
      <c r="E1006" s="8">
        <f>E10+E127+E159+E337+E656+E663+E847+E892+E943+E995+E1000</f>
        <v>17128550.099999998</v>
      </c>
      <c r="F1006" s="8">
        <f>F10+F127+F159+F337+F656+F663+F847+F892+F943+F995+F1000</f>
        <v>17846117.899999999</v>
      </c>
      <c r="G1006" s="8">
        <f>G10+G127+G159+G337+G656+G663+G847+G892+G943+G995+G1000</f>
        <v>15938095</v>
      </c>
    </row>
    <row r="1007" spans="1:7" x14ac:dyDescent="0.25">
      <c r="G1007" s="93" t="s">
        <v>888</v>
      </c>
    </row>
    <row r="1008" spans="1:7" x14ac:dyDescent="0.25">
      <c r="G1008" s="2"/>
    </row>
    <row r="1009" spans="7:7" x14ac:dyDescent="0.25">
      <c r="G1009" s="2"/>
    </row>
    <row r="1010" spans="7:7" x14ac:dyDescent="0.25">
      <c r="G1010" s="2"/>
    </row>
    <row r="1011" spans="7:7" x14ac:dyDescent="0.25">
      <c r="G1011" s="2"/>
    </row>
    <row r="1012" spans="7:7" x14ac:dyDescent="0.25">
      <c r="G1012" s="2"/>
    </row>
    <row r="1013" spans="7:7" x14ac:dyDescent="0.25">
      <c r="G1013" s="2"/>
    </row>
    <row r="1014" spans="7:7" x14ac:dyDescent="0.25">
      <c r="G1014" s="2"/>
    </row>
    <row r="1015" spans="7:7" x14ac:dyDescent="0.25">
      <c r="G1015" s="2"/>
    </row>
    <row r="1016" spans="7:7" x14ac:dyDescent="0.25">
      <c r="G1016" s="2"/>
    </row>
    <row r="1017" spans="7:7" x14ac:dyDescent="0.25">
      <c r="G1017" s="2"/>
    </row>
    <row r="1018" spans="7:7" x14ac:dyDescent="0.25">
      <c r="G1018" s="2"/>
    </row>
    <row r="1019" spans="7:7" x14ac:dyDescent="0.25">
      <c r="G1019" s="2"/>
    </row>
    <row r="1020" spans="7:7" x14ac:dyDescent="0.25">
      <c r="G1020" s="2"/>
    </row>
    <row r="1021" spans="7:7" x14ac:dyDescent="0.25">
      <c r="G1021" s="2"/>
    </row>
    <row r="1022" spans="7:7" x14ac:dyDescent="0.25">
      <c r="G1022" s="2"/>
    </row>
  </sheetData>
  <autoFilter ref="A7:G1004" xr:uid="{00000000-0009-0000-0000-000000000000}"/>
  <customSheetViews>
    <customSheetView guid="{AA62EF5A-85DE-4BC8-95D5-4F54CE8CF3D6}" scale="70" showPageBreaks="1" fitToPage="1" showAutoFilter="1" topLeftCell="A346">
      <selection activeCell="E357" sqref="E357:G357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1"/>
      <autoFilter ref="B1:B967" xr:uid="{35876CF8-1360-4B40-8637-914FEA13D65F}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98E64474-CDF2-4660-977D-8A2058B27A2F}" scale="70" fitToPage="1" topLeftCell="A696">
      <selection activeCell="C713" sqref="C71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4"/>
    </customSheetView>
    <customSheetView guid="{2A135292-D5EB-4A8D-A93E-D0B24F2543E0}" scale="70" showPageBreaks="1" fitToPage="1" topLeftCell="A3">
      <selection activeCell="T124" sqref="T124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5"/>
    </customSheetView>
    <customSheetView guid="{61C84D61-2D1A-4C38-8F3E-B87673D547A5}" scale="80" showPageBreaks="1" filter="1" showAutoFilter="1" topLeftCell="A256">
      <selection activeCell="F262" sqref="F262:G303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  <autoFilter ref="B1:B1038" xr:uid="{A8679220-B436-48AF-BB92-4EA408AAC725}">
        <filterColumn colId="0">
          <filters>
            <filter val="0409"/>
          </filters>
        </filterColumn>
      </autoFilter>
    </customSheetView>
    <customSheetView guid="{1CA6CCC9-64EF-4CA9-9C9C-1E572976D134}" scale="65" showPageBreaks="1" fitToPage="1" topLeftCell="A1006">
      <selection activeCell="O1014" sqref="O1014"/>
      <pageMargins left="0.70866141732283472" right="0.11811023622047245" top="0.55118110236220474" bottom="0.35433070866141736" header="0.31496062992125984" footer="0.31496062992125984"/>
      <pageSetup paperSize="9" scale="63" fitToHeight="0" orientation="portrait" r:id="rId7"/>
    </customSheetView>
  </customSheetViews>
  <mergeCells count="7">
    <mergeCell ref="A8:A9"/>
    <mergeCell ref="B8:B9"/>
    <mergeCell ref="F8:G8"/>
    <mergeCell ref="F1:G1"/>
    <mergeCell ref="C8:C9"/>
    <mergeCell ref="D8:D9"/>
    <mergeCell ref="A5:G5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63" fitToHeight="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Захаревич Елена</cp:lastModifiedBy>
  <cp:lastPrinted>2025-11-09T06:27:54Z</cp:lastPrinted>
  <dcterms:created xsi:type="dcterms:W3CDTF">2021-10-13T06:13:14Z</dcterms:created>
  <dcterms:modified xsi:type="dcterms:W3CDTF">2025-11-28T03:18:01Z</dcterms:modified>
</cp:coreProperties>
</file>